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865" activeTab="3"/>
  </bookViews>
  <sheets>
    <sheet name="Лист1" sheetId="1" r:id="rId1"/>
    <sheet name="Прил 1" sheetId="2" r:id="rId2"/>
    <sheet name="Прил3" sheetId="3" r:id="rId3"/>
    <sheet name="Прил5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<sst xmlns="http://schemas.openxmlformats.org/spreadsheetml/2006/main" count="302" uniqueCount="145">
  <si>
    <t>Приложение N 3</t>
  </si>
  <si>
    <t>к предложению о размере цен</t>
  </si>
  <si>
    <t>(тарифов), долгосрочных</t>
  </si>
  <si>
    <t>параметров регулирования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</si>
  <si>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</si>
  <si>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</si>
  <si>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</si>
  <si>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</si>
  <si>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</si>
  <si>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</si>
  <si>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</si>
  <si>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</si>
  <si>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</si>
  <si>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</si>
  <si>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</si>
  <si>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</si>
  <si>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</si>
  <si>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</si>
  <si>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</si>
  <si>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</si>
  <si>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</si>
  <si>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</si>
  <si>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</si>
  <si>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</si>
  <si>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</si>
  <si>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</si>
  <si>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</si>
  <si>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</si>
  <si>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</si>
  <si>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</si>
  <si>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</si>
  <si>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</si>
  <si>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</si>
  <si>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</si>
  <si>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</si>
  <si>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</si>
  <si>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</si>
  <si>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</si>
  <si>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</si>
  <si>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</si>
  <si>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</si>
  <si>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</si>
  <si>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</si>
  <si>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</si>
  <si>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</si>
  <si>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</si>
  <si>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</si>
  <si>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</si>
  <si>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</si>
  <si>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</si>
  <si>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</si>
  <si>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</si>
  <si>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</si>
  <si>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</si>
  <si>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</si>
  <si>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2.1.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</si>
  <si>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</si>
  <si>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</si>
  <si>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</si>
  <si>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</si>
  <si>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</si>
  <si>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</si>
  <si>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</si>
  <si>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</si>
  <si>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</si>
  <si>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</si>
  <si>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</si>
  <si>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</si>
  <si>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</si>
  <si>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</si>
  <si>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</si>
  <si>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</si>
  <si>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</si>
  <si>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</si>
  <si>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</si>
  <si>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</si>
  <si>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</si>
  <si>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</si>
  <si>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</si>
  <si>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</si>
  <si>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</si>
  <si>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9.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</si>
  <si>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</si>
  <si>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</si>
  <si>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</si>
  <si>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</si>
  <si>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</si>
  <si>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</si>
  <si>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&lt;*&gt; Базовый период - год, предшествующий расчетному периоду регулирования.</t>
  </si>
  <si>
    <t>Раздел 2. Основные показатели деятельности гарантирующих поставщиков</t>
  </si>
  <si>
    <t>Приложение N 5</t>
  </si>
  <si>
    <t>Раздел 3. Цены (тарифы) по регулируемым видам  деятельности организации</t>
  </si>
  <si>
    <t>Единица изменения</t>
  </si>
  <si>
    <t>1-е полугодие</t>
  </si>
  <si>
    <t>2-е полугодие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</si>
  <si>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</si>
  <si>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</si>
  <si>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</si>
  <si>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</si>
  <si>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</si>
  <si>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Резерв безнадежной дебиторской задолженности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</si>
  <si>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</si>
  <si>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</si>
  <si>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</si>
  <si>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</si>
  <si>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</si>
  <si>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</si>
  <si>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</si>
  <si>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</si>
  <si>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</si>
  <si>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</si>
  <si>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</si>
  <si>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N 1</t>
  </si>
  <si>
    <t>Публичное акционерное общество "Калужская сбытовая компания"</t>
  </si>
  <si>
    <t>ПАО "Калужская сбытовая компания"</t>
  </si>
  <si>
    <t>248001 г.Калуга, пер. Суворова, д.8</t>
  </si>
  <si>
    <t>Яшанин А.Н.</t>
  </si>
  <si>
    <t>sekretary@ksk.kaluga.ru</t>
  </si>
  <si>
    <t>менее 150 кВт *</t>
  </si>
  <si>
    <t>менее 670 кВт *</t>
  </si>
  <si>
    <t>Необходимые расходы из прибыли **</t>
  </si>
  <si>
    <t>****</t>
  </si>
  <si>
    <t>* Со 2 полугодия 2018 г. в соответствии с "Методическими указаниями по расчету сбытовых надбавок гарантирующих поставщиков с использованием метода сравнения аналогов", утвержденными  приказом ФАС России №1554/17 от 21.11.2017 г.  группа "менее 670 кВт" объединяет две группы "менее150 кВт" и "от 150 кВт до 670 кВт"</t>
  </si>
  <si>
    <t>5.1.</t>
  </si>
  <si>
    <t>5.2.</t>
  </si>
  <si>
    <t>5.3.</t>
  </si>
  <si>
    <t>**** Данные показатели в соответствии с Методическими указаниями по расчету сбытовых надбавок ( Приказ ФАС № 1554/17 от 21.11.2017г.) не утверждаются</t>
  </si>
  <si>
    <t>(полное и сокращенное наименование юридического лица)</t>
  </si>
  <si>
    <t>(расчетный период регулирования)</t>
  </si>
  <si>
    <t>год</t>
  </si>
  <si>
    <t>(вид цены (тарифа) на</t>
  </si>
  <si>
    <t>о размере цен (тарифов), долгосрочных параметров регулирования</t>
  </si>
  <si>
    <t>ПРЕДЛОЖЕНИЕ</t>
  </si>
  <si>
    <t>(ПАО "Калужская сбытовая компания")</t>
  </si>
  <si>
    <t xml:space="preserve">Показатели, утвержденные на базовый период </t>
  </si>
  <si>
    <t>№191-ТЗ от 22 января 2019 г. на 2019-2021гг.</t>
  </si>
  <si>
    <t>** На 2019г-2020г. указана величина расчетной предпринимательской прибыли в соответствии с Методическими указаниями по расчету сбытовых надбавок, утвержденными Приказом ФАС № 1554/17 от 21.11.2017г.</t>
  </si>
  <si>
    <t>до 670 кВт *</t>
  </si>
  <si>
    <t>Приказ Министерства строительства и ЖКХ Калужской области №508 от 30 октября 2020 г.</t>
  </si>
  <si>
    <t>Заявление ПАО "КСК" в Министерство строительства и ЖКХ Калужской области; исх №214 от 23.03.2021</t>
  </si>
  <si>
    <t>2022</t>
  </si>
  <si>
    <t>тел.:  (4842) 701-801</t>
  </si>
  <si>
    <t>(4842) 701-852</t>
  </si>
  <si>
    <t>величина сбытовой надбавки для тарифной группы прочие потребители - по подгруппе в зависимости от величины максимальной мощности принадлежащих им энергопринимающих устройств:</t>
  </si>
  <si>
    <t>менее 670 кВт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</si>
</sst>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"/>
    <numFmt numFmtId="175" formatCode="0.0%"/>
    <numFmt numFmtId="176" formatCode="#,##0.00000"/>
    <numFmt numFmtId="177" formatCode="#,##0.000000"/>
    <numFmt numFmtId="178" formatCode="#,##0.0000"/>
    <numFmt numFmtId="179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7" borderId="10" xfId="0" applyNumberForma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0" fillId="7" borderId="16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2" fillId="0" borderId="11" xfId="42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3" fontId="0" fillId="0" borderId="0" xfId="0" applyNumberFormat="1" applyAlignment="1">
      <alignment/>
    </xf>
    <xf numFmtId="3" fontId="36" fillId="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36" fillId="4" borderId="11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top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49" fontId="0" fillId="0" borderId="27" xfId="0" applyNumberForma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top" wrapText="1"/>
    </xf>
    <xf numFmtId="0" fontId="0" fillId="6" borderId="27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right"/>
      <protection/>
    </xf>
    <xf numFmtId="3" fontId="0" fillId="0" borderId="29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3" fontId="0" fillId="0" borderId="3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9" fillId="0" borderId="36" xfId="0" applyNumberFormat="1" applyFont="1" applyBorder="1" applyAlignment="1">
      <alignment horizontal="center" vertical="center" wrapText="1"/>
    </xf>
    <xf numFmtId="0" fontId="3" fillId="0" borderId="37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49" fontId="5" fillId="0" borderId="37" xfId="53" applyNumberFormat="1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27" xfId="0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29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34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2" xfId="0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2" fontId="0" fillId="0" borderId="4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5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4" fontId="0" fillId="0" borderId="42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24" fillId="0" borderId="28" xfId="0" applyFont="1" applyBorder="1" applyAlignment="1">
      <alignment vertical="top" wrapText="1"/>
    </xf>
    <xf numFmtId="2" fontId="24" fillId="0" borderId="28" xfId="0" applyNumberFormat="1" applyFon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at\&#1053;&#1040;&#1057;&#1045;&#1051;&#1045;&#1053;&#1048;&#1045;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 I КСК_январь 18"/>
      <sheetName val="Раз I КСК_ф 18"/>
      <sheetName val="Раз 1 КСК м 18"/>
      <sheetName val="1 КВАРТАЛ"/>
      <sheetName val="Раз 1 апр 18"/>
      <sheetName val="Раз 1 май 18"/>
      <sheetName val="Раз 1 июнь 18"/>
      <sheetName val="2 КВАРТАЛ"/>
      <sheetName val="Раз I КСК_18 июль"/>
      <sheetName val="НАС авг"/>
      <sheetName val="НАС сен"/>
      <sheetName val="3кв"/>
      <sheetName val="НАС окт"/>
      <sheetName val="Нас нояб"/>
      <sheetName val="НАС дек"/>
      <sheetName val="4 кв"/>
      <sheetName val="ГОД"/>
      <sheetName val="1 и 2 кв"/>
      <sheetName val="ГОД (2)МАКЕТ"/>
    </sheetNames>
    <sheetDataSet>
      <sheetData sheetId="11">
        <row r="25">
          <cell r="C25">
            <v>0.33799999999999997</v>
          </cell>
        </row>
      </sheetData>
      <sheetData sheetId="15">
        <row r="25">
          <cell r="C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y@ksk.kaluga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9:DS17"/>
  <sheetViews>
    <sheetView zoomScalePageLayoutView="0" workbookViewId="0" topLeftCell="A1">
      <selection activeCell="BK11" sqref="BK11:CB11"/>
    </sheetView>
  </sheetViews>
  <sheetFormatPr defaultColWidth="1.1484375" defaultRowHeight="15"/>
  <cols>
    <col min="1" max="16384" width="1.1484375" style="67" customWidth="1"/>
  </cols>
  <sheetData>
    <row r="9" spans="1:123" s="69" customFormat="1" ht="18.75">
      <c r="A9" s="86" t="s">
        <v>132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</row>
    <row r="10" spans="1:123" s="69" customFormat="1" ht="18.75">
      <c r="A10" s="86" t="s">
        <v>131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</row>
    <row r="11" spans="61:82" s="69" customFormat="1" ht="18.75">
      <c r="BI11" s="71" t="s">
        <v>130</v>
      </c>
      <c r="BK11" s="87" t="s">
        <v>140</v>
      </c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D11" s="70" t="s">
        <v>129</v>
      </c>
    </row>
    <row r="12" spans="63:80" s="68" customFormat="1" ht="10.5">
      <c r="BK12" s="88" t="s">
        <v>128</v>
      </c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</row>
    <row r="15" spans="19:105" ht="15.75">
      <c r="S15" s="85" t="s">
        <v>113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</row>
    <row r="16" spans="19:105" s="68" customFormat="1" ht="10.5">
      <c r="S16" s="88" t="s">
        <v>127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</row>
    <row r="17" spans="19:105" ht="15.75">
      <c r="S17" s="85" t="s">
        <v>133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</row>
  </sheetData>
  <sheetProtection/>
  <mergeCells count="7">
    <mergeCell ref="S17:DA17"/>
    <mergeCell ref="A9:DS9"/>
    <mergeCell ref="A10:DS10"/>
    <mergeCell ref="BK11:CB11"/>
    <mergeCell ref="BK12:CB12"/>
    <mergeCell ref="S15:DA15"/>
    <mergeCell ref="S16:DA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7.140625" style="0" customWidth="1"/>
    <col min="2" max="2" width="47.421875" style="0" customWidth="1"/>
  </cols>
  <sheetData>
    <row r="1" spans="1:2" ht="15">
      <c r="A1" s="1"/>
      <c r="B1" s="1" t="s">
        <v>112</v>
      </c>
    </row>
    <row r="2" spans="1:2" ht="15">
      <c r="A2" s="1"/>
      <c r="B2" s="1" t="s">
        <v>1</v>
      </c>
    </row>
    <row r="3" spans="1:2" ht="15">
      <c r="A3" s="1"/>
      <c r="B3" s="1" t="s">
        <v>2</v>
      </c>
    </row>
    <row r="4" spans="1:2" ht="15">
      <c r="A4" s="1"/>
      <c r="B4" s="1" t="s">
        <v>3</v>
      </c>
    </row>
    <row r="5" spans="1:2" ht="15">
      <c r="A5" s="39"/>
      <c r="B5" s="41"/>
    </row>
    <row r="6" spans="1:2" ht="15">
      <c r="A6" s="39"/>
      <c r="B6" s="40"/>
    </row>
    <row r="7" ht="15">
      <c r="A7" t="s">
        <v>101</v>
      </c>
    </row>
    <row r="9" spans="1:2" ht="30" customHeight="1">
      <c r="A9" s="43" t="s">
        <v>102</v>
      </c>
      <c r="B9" s="42" t="s">
        <v>113</v>
      </c>
    </row>
    <row r="10" spans="1:2" ht="20.25" customHeight="1">
      <c r="A10" s="44" t="s">
        <v>103</v>
      </c>
      <c r="B10" s="46" t="s">
        <v>114</v>
      </c>
    </row>
    <row r="11" spans="1:2" ht="20.25" customHeight="1">
      <c r="A11" s="44" t="s">
        <v>104</v>
      </c>
      <c r="B11" s="47" t="s">
        <v>115</v>
      </c>
    </row>
    <row r="12" spans="1:2" ht="20.25" customHeight="1">
      <c r="A12" s="44" t="s">
        <v>105</v>
      </c>
      <c r="B12" s="47" t="s">
        <v>115</v>
      </c>
    </row>
    <row r="13" spans="1:2" ht="20.25" customHeight="1">
      <c r="A13" s="44" t="s">
        <v>106</v>
      </c>
      <c r="B13" s="47">
        <v>4029030252</v>
      </c>
    </row>
    <row r="14" spans="1:2" ht="20.25" customHeight="1">
      <c r="A14" s="44" t="s">
        <v>107</v>
      </c>
      <c r="B14" s="47">
        <v>402801001</v>
      </c>
    </row>
    <row r="15" spans="1:2" ht="20.25" customHeight="1">
      <c r="A15" s="44" t="s">
        <v>108</v>
      </c>
      <c r="B15" s="47" t="s">
        <v>116</v>
      </c>
    </row>
    <row r="16" spans="1:2" ht="20.25" customHeight="1">
      <c r="A16" s="44" t="s">
        <v>109</v>
      </c>
      <c r="B16" s="48" t="s">
        <v>117</v>
      </c>
    </row>
    <row r="17" spans="1:2" ht="20.25" customHeight="1">
      <c r="A17" s="44" t="s">
        <v>110</v>
      </c>
      <c r="B17" s="47" t="s">
        <v>141</v>
      </c>
    </row>
    <row r="18" spans="1:2" ht="20.25" customHeight="1">
      <c r="A18" s="45" t="s">
        <v>111</v>
      </c>
      <c r="B18" s="49" t="s">
        <v>142</v>
      </c>
    </row>
  </sheetData>
  <sheetProtection/>
  <hyperlinks>
    <hyperlink ref="B16" r:id="rId1" display="sekretary@ksk.kaluga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2" max="2" width="51.140625" style="0" customWidth="1"/>
    <col min="3" max="3" width="12.28125" style="0" customWidth="1"/>
    <col min="4" max="4" width="22.7109375" style="0" customWidth="1"/>
    <col min="5" max="5" width="20.57421875" style="0" customWidth="1"/>
    <col min="6" max="6" width="19.8515625" style="0" customWidth="1"/>
    <col min="9" max="9" width="23.140625" style="0" customWidth="1"/>
    <col min="10" max="10" width="18.7109375" style="0" customWidth="1"/>
  </cols>
  <sheetData>
    <row r="1" ht="15">
      <c r="F1" s="1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6" ht="15">
      <c r="A6" s="2"/>
    </row>
    <row r="7" ht="15">
      <c r="C7" s="2" t="s">
        <v>89</v>
      </c>
    </row>
    <row r="8" ht="15">
      <c r="D8" s="2"/>
    </row>
    <row r="9" spans="1:6" ht="15">
      <c r="A9" s="3"/>
      <c r="D9" s="8">
        <v>2020</v>
      </c>
      <c r="E9" s="8">
        <v>2021</v>
      </c>
      <c r="F9" s="8">
        <v>2022</v>
      </c>
    </row>
    <row r="10" spans="1:6" ht="70.5" customHeight="1">
      <c r="A10" s="6" t="s">
        <v>4</v>
      </c>
      <c r="B10" s="25" t="s">
        <v>5</v>
      </c>
      <c r="C10" s="6" t="s">
        <v>6</v>
      </c>
      <c r="D10" s="63" t="s">
        <v>7</v>
      </c>
      <c r="E10" s="82" t="s">
        <v>134</v>
      </c>
      <c r="F10" s="6" t="s">
        <v>9</v>
      </c>
    </row>
    <row r="11" spans="1:6" ht="33" customHeight="1">
      <c r="A11" s="79" t="s">
        <v>10</v>
      </c>
      <c r="B11" s="80" t="s">
        <v>11</v>
      </c>
      <c r="C11" s="79"/>
      <c r="D11" s="72">
        <f>D13+D63+D76</f>
        <v>5107743.3379999995</v>
      </c>
      <c r="E11" s="72">
        <f>E13+E63+E76</f>
        <v>4950710</v>
      </c>
      <c r="F11" s="81">
        <v>5250000</v>
      </c>
    </row>
    <row r="12" spans="1:6" ht="21.75" customHeight="1">
      <c r="A12" s="74"/>
      <c r="B12" s="26" t="s">
        <v>12</v>
      </c>
      <c r="C12" s="74"/>
      <c r="D12" s="9"/>
      <c r="E12" s="9"/>
      <c r="F12" s="10"/>
    </row>
    <row r="13" spans="1:10" ht="37.5" customHeight="1">
      <c r="A13" s="74" t="s">
        <v>13</v>
      </c>
      <c r="B13" s="26" t="s">
        <v>14</v>
      </c>
      <c r="C13" s="77" t="s">
        <v>15</v>
      </c>
      <c r="D13" s="51">
        <f>D14</f>
        <v>1258987.338</v>
      </c>
      <c r="E13" s="51">
        <f>E14</f>
        <v>1135200</v>
      </c>
      <c r="F13" s="53">
        <f>F14</f>
        <v>1302999</v>
      </c>
      <c r="I13" s="52"/>
      <c r="J13" s="52"/>
    </row>
    <row r="14" spans="1:12" ht="21.75" customHeight="1">
      <c r="A14" s="89" t="s">
        <v>16</v>
      </c>
      <c r="B14" s="26" t="s">
        <v>17</v>
      </c>
      <c r="C14" s="74" t="s">
        <v>15</v>
      </c>
      <c r="D14" s="9">
        <f aca="true" t="shared" si="0" ref="D14:F16">D22+D29+D36+D43+D50+D57</f>
        <v>1258987.338</v>
      </c>
      <c r="E14" s="9">
        <f t="shared" si="0"/>
        <v>1135200</v>
      </c>
      <c r="F14" s="10">
        <f t="shared" si="0"/>
        <v>1302999</v>
      </c>
      <c r="I14" s="50"/>
      <c r="L14" s="50"/>
    </row>
    <row r="15" spans="1:10" ht="21.75" customHeight="1">
      <c r="A15" s="89"/>
      <c r="B15" s="27" t="s">
        <v>18</v>
      </c>
      <c r="C15" s="74" t="s">
        <v>15</v>
      </c>
      <c r="D15" s="9">
        <f t="shared" si="0"/>
        <v>658196</v>
      </c>
      <c r="E15" s="9">
        <f t="shared" si="0"/>
        <v>586766</v>
      </c>
      <c r="F15" s="10">
        <f t="shared" si="0"/>
        <v>670665</v>
      </c>
      <c r="H15" s="50"/>
      <c r="I15" s="52"/>
      <c r="J15" s="52"/>
    </row>
    <row r="16" spans="1:10" ht="21.75" customHeight="1">
      <c r="A16" s="89"/>
      <c r="B16" s="27" t="s">
        <v>19</v>
      </c>
      <c r="C16" s="74" t="s">
        <v>15</v>
      </c>
      <c r="D16" s="9">
        <f>D24+D31+D38+D45+D52+D59</f>
        <v>600791.338</v>
      </c>
      <c r="E16" s="9">
        <f t="shared" si="0"/>
        <v>548434</v>
      </c>
      <c r="F16" s="10">
        <f t="shared" si="0"/>
        <v>632334</v>
      </c>
      <c r="I16" s="52"/>
      <c r="J16" s="52"/>
    </row>
    <row r="17" spans="1:6" ht="21.75" customHeight="1">
      <c r="A17" s="89" t="s">
        <v>20</v>
      </c>
      <c r="B17" s="26" t="s">
        <v>21</v>
      </c>
      <c r="C17" s="74" t="s">
        <v>15</v>
      </c>
      <c r="D17" s="9">
        <v>0</v>
      </c>
      <c r="E17" s="9">
        <v>0</v>
      </c>
      <c r="F17" s="10"/>
    </row>
    <row r="18" spans="1:6" ht="21.75" customHeight="1">
      <c r="A18" s="89"/>
      <c r="B18" s="27" t="s">
        <v>18</v>
      </c>
      <c r="C18" s="74" t="s">
        <v>15</v>
      </c>
      <c r="D18" s="9">
        <v>0</v>
      </c>
      <c r="E18" s="9">
        <v>0</v>
      </c>
      <c r="F18" s="10"/>
    </row>
    <row r="19" spans="1:6" ht="21.75" customHeight="1">
      <c r="A19" s="89"/>
      <c r="B19" s="27" t="s">
        <v>19</v>
      </c>
      <c r="C19" s="74" t="s">
        <v>15</v>
      </c>
      <c r="D19" s="9">
        <v>0</v>
      </c>
      <c r="E19" s="9">
        <v>0</v>
      </c>
      <c r="F19" s="10"/>
    </row>
    <row r="20" spans="1:6" ht="21.75" customHeight="1">
      <c r="A20" s="89"/>
      <c r="B20" s="26" t="s">
        <v>12</v>
      </c>
      <c r="C20" s="74" t="s">
        <v>15</v>
      </c>
      <c r="D20" s="9"/>
      <c r="E20" s="9"/>
      <c r="F20" s="10"/>
    </row>
    <row r="21" spans="1:6" ht="64.5" customHeight="1">
      <c r="A21" s="74" t="s">
        <v>22</v>
      </c>
      <c r="B21" s="26" t="s">
        <v>23</v>
      </c>
      <c r="C21" s="74" t="s">
        <v>15</v>
      </c>
      <c r="D21" s="9">
        <f>D22</f>
        <v>562549</v>
      </c>
      <c r="E21" s="9">
        <f>E22</f>
        <v>508736</v>
      </c>
      <c r="F21" s="10">
        <f>F22</f>
        <v>583934</v>
      </c>
    </row>
    <row r="22" spans="1:6" ht="21.75" customHeight="1">
      <c r="A22" s="89" t="s">
        <v>24</v>
      </c>
      <c r="B22" s="28" t="s">
        <v>17</v>
      </c>
      <c r="C22" s="64" t="s">
        <v>15</v>
      </c>
      <c r="D22" s="14">
        <f>D23+D24</f>
        <v>562549</v>
      </c>
      <c r="E22" s="14">
        <f>E23+E24</f>
        <v>508736</v>
      </c>
      <c r="F22" s="15">
        <f>F23+F24</f>
        <v>583934</v>
      </c>
    </row>
    <row r="23" spans="1:6" ht="21.75" customHeight="1">
      <c r="A23" s="89"/>
      <c r="B23" s="27" t="s">
        <v>18</v>
      </c>
      <c r="C23" s="74" t="s">
        <v>15</v>
      </c>
      <c r="D23" s="9">
        <f>292298</f>
        <v>292298</v>
      </c>
      <c r="E23" s="9">
        <f>262957</f>
        <v>262957</v>
      </c>
      <c r="F23" s="10">
        <f>300556</f>
        <v>300556</v>
      </c>
    </row>
    <row r="24" spans="1:6" ht="21.75" customHeight="1">
      <c r="A24" s="89"/>
      <c r="B24" s="27" t="s">
        <v>19</v>
      </c>
      <c r="C24" s="74" t="s">
        <v>15</v>
      </c>
      <c r="D24" s="9">
        <f>270251</f>
        <v>270251</v>
      </c>
      <c r="E24" s="9">
        <f>245779</f>
        <v>245779</v>
      </c>
      <c r="F24" s="10">
        <f>283378</f>
        <v>283378</v>
      </c>
    </row>
    <row r="25" spans="1:6" ht="21.75" customHeight="1">
      <c r="A25" s="89" t="s">
        <v>25</v>
      </c>
      <c r="B25" s="26" t="s">
        <v>21</v>
      </c>
      <c r="C25" s="74" t="s">
        <v>15</v>
      </c>
      <c r="D25" s="9">
        <v>0</v>
      </c>
      <c r="E25" s="9">
        <v>0</v>
      </c>
      <c r="F25" s="10"/>
    </row>
    <row r="26" spans="1:6" ht="21.75" customHeight="1">
      <c r="A26" s="89"/>
      <c r="B26" s="27" t="s">
        <v>18</v>
      </c>
      <c r="C26" s="74" t="s">
        <v>15</v>
      </c>
      <c r="D26" s="9"/>
      <c r="E26" s="9"/>
      <c r="F26" s="10"/>
    </row>
    <row r="27" spans="1:6" ht="21.75" customHeight="1">
      <c r="A27" s="89"/>
      <c r="B27" s="27" t="s">
        <v>19</v>
      </c>
      <c r="C27" s="74" t="s">
        <v>15</v>
      </c>
      <c r="D27" s="9"/>
      <c r="E27" s="9"/>
      <c r="F27" s="10"/>
    </row>
    <row r="28" spans="1:6" ht="51.75" customHeight="1">
      <c r="A28" s="74" t="s">
        <v>26</v>
      </c>
      <c r="B28" s="26" t="s">
        <v>27</v>
      </c>
      <c r="C28" s="74" t="s">
        <v>15</v>
      </c>
      <c r="D28" s="9">
        <v>37095.268164974084</v>
      </c>
      <c r="E28" s="9">
        <v>37095.268164974084</v>
      </c>
      <c r="F28" s="10">
        <v>38741.45725273836</v>
      </c>
    </row>
    <row r="29" spans="1:6" ht="21.75" customHeight="1">
      <c r="A29" s="89" t="s">
        <v>28</v>
      </c>
      <c r="B29" s="28" t="s">
        <v>17</v>
      </c>
      <c r="C29" s="64" t="s">
        <v>15</v>
      </c>
      <c r="D29" s="14">
        <f>D30+D31</f>
        <v>105948</v>
      </c>
      <c r="E29" s="14">
        <f>E30+E31</f>
        <v>94497</v>
      </c>
      <c r="F29" s="15">
        <f>F30+F31</f>
        <v>108466</v>
      </c>
    </row>
    <row r="30" spans="1:6" ht="21.75" customHeight="1">
      <c r="A30" s="89"/>
      <c r="B30" s="27" t="s">
        <v>18</v>
      </c>
      <c r="C30" s="74" t="s">
        <v>15</v>
      </c>
      <c r="D30" s="9">
        <f>54810</f>
        <v>54810</v>
      </c>
      <c r="E30" s="9">
        <f>48844</f>
        <v>48844</v>
      </c>
      <c r="F30" s="10">
        <f>55828</f>
        <v>55828</v>
      </c>
    </row>
    <row r="31" spans="1:6" ht="21.75" customHeight="1">
      <c r="A31" s="89"/>
      <c r="B31" s="27" t="s">
        <v>19</v>
      </c>
      <c r="C31" s="74" t="s">
        <v>15</v>
      </c>
      <c r="D31" s="9">
        <f>51138</f>
        <v>51138</v>
      </c>
      <c r="E31" s="9">
        <f>45653</f>
        <v>45653</v>
      </c>
      <c r="F31" s="10">
        <f>52638</f>
        <v>52638</v>
      </c>
    </row>
    <row r="32" spans="1:6" ht="21.75" customHeight="1">
      <c r="A32" s="89" t="s">
        <v>29</v>
      </c>
      <c r="B32" s="26" t="s">
        <v>21</v>
      </c>
      <c r="C32" s="74" t="s">
        <v>15</v>
      </c>
      <c r="D32" s="9">
        <v>0</v>
      </c>
      <c r="E32" s="9">
        <v>0</v>
      </c>
      <c r="F32" s="10"/>
    </row>
    <row r="33" spans="1:6" ht="21.75" customHeight="1">
      <c r="A33" s="89"/>
      <c r="B33" s="27" t="s">
        <v>18</v>
      </c>
      <c r="C33" s="74" t="s">
        <v>15</v>
      </c>
      <c r="D33" s="9"/>
      <c r="E33" s="9"/>
      <c r="F33" s="10"/>
    </row>
    <row r="34" spans="1:6" ht="21.75" customHeight="1">
      <c r="A34" s="89"/>
      <c r="B34" s="27" t="s">
        <v>19</v>
      </c>
      <c r="C34" s="74" t="s">
        <v>15</v>
      </c>
      <c r="D34" s="9"/>
      <c r="E34" s="9"/>
      <c r="F34" s="10"/>
    </row>
    <row r="35" spans="1:6" ht="62.25" customHeight="1">
      <c r="A35" s="74" t="s">
        <v>30</v>
      </c>
      <c r="B35" s="26" t="s">
        <v>31</v>
      </c>
      <c r="C35" s="74" t="s">
        <v>15</v>
      </c>
      <c r="D35" s="9">
        <v>0</v>
      </c>
      <c r="E35" s="9">
        <f>E36</f>
        <v>0</v>
      </c>
      <c r="F35" s="10">
        <f>F36</f>
        <v>0</v>
      </c>
    </row>
    <row r="36" spans="1:6" ht="21.75" customHeight="1">
      <c r="A36" s="89" t="s">
        <v>32</v>
      </c>
      <c r="B36" s="28" t="s">
        <v>17</v>
      </c>
      <c r="C36" s="64" t="s">
        <v>15</v>
      </c>
      <c r="D36" s="14">
        <f>D37+D38</f>
        <v>0</v>
      </c>
      <c r="E36" s="14">
        <f>E37+E38</f>
        <v>0</v>
      </c>
      <c r="F36" s="15">
        <f>F37+F38</f>
        <v>0</v>
      </c>
    </row>
    <row r="37" spans="1:6" ht="21.75" customHeight="1">
      <c r="A37" s="89"/>
      <c r="B37" s="27" t="s">
        <v>18</v>
      </c>
      <c r="C37" s="74" t="s">
        <v>15</v>
      </c>
      <c r="D37" s="9">
        <v>0</v>
      </c>
      <c r="E37" s="9">
        <v>0</v>
      </c>
      <c r="F37" s="10">
        <v>0</v>
      </c>
    </row>
    <row r="38" spans="1:6" ht="21.75" customHeight="1">
      <c r="A38" s="89"/>
      <c r="B38" s="27" t="s">
        <v>19</v>
      </c>
      <c r="C38" s="74" t="s">
        <v>15</v>
      </c>
      <c r="D38" s="9"/>
      <c r="E38" s="9"/>
      <c r="F38" s="10"/>
    </row>
    <row r="39" spans="1:6" ht="21.75" customHeight="1">
      <c r="A39" s="89" t="s">
        <v>33</v>
      </c>
      <c r="B39" s="26" t="s">
        <v>21</v>
      </c>
      <c r="C39" s="74" t="s">
        <v>15</v>
      </c>
      <c r="D39" s="9">
        <v>0</v>
      </c>
      <c r="E39" s="9">
        <v>0</v>
      </c>
      <c r="F39" s="10">
        <v>0</v>
      </c>
    </row>
    <row r="40" spans="1:6" ht="21.75" customHeight="1">
      <c r="A40" s="89"/>
      <c r="B40" s="27" t="s">
        <v>18</v>
      </c>
      <c r="C40" s="74" t="s">
        <v>15</v>
      </c>
      <c r="D40" s="9"/>
      <c r="E40" s="9"/>
      <c r="F40" s="10"/>
    </row>
    <row r="41" spans="1:6" ht="21.75" customHeight="1">
      <c r="A41" s="89"/>
      <c r="B41" s="27" t="s">
        <v>19</v>
      </c>
      <c r="C41" s="74" t="s">
        <v>15</v>
      </c>
      <c r="D41" s="9"/>
      <c r="E41" s="9"/>
      <c r="F41" s="10"/>
    </row>
    <row r="42" spans="1:6" ht="66" customHeight="1">
      <c r="A42" s="74" t="s">
        <v>34</v>
      </c>
      <c r="B42" s="26" t="s">
        <v>35</v>
      </c>
      <c r="C42" s="74" t="s">
        <v>15</v>
      </c>
      <c r="D42" s="9">
        <v>0</v>
      </c>
      <c r="E42" s="9">
        <f>E43</f>
        <v>0</v>
      </c>
      <c r="F42" s="10">
        <f>F43</f>
        <v>0</v>
      </c>
    </row>
    <row r="43" spans="1:6" ht="21.75" customHeight="1">
      <c r="A43" s="89" t="s">
        <v>36</v>
      </c>
      <c r="B43" s="28" t="s">
        <v>17</v>
      </c>
      <c r="C43" s="64" t="s">
        <v>15</v>
      </c>
      <c r="D43" s="14">
        <f>D44+D45</f>
        <v>0.33799999999999997</v>
      </c>
      <c r="E43" s="14">
        <f>E44+E45</f>
        <v>0</v>
      </c>
      <c r="F43" s="15">
        <f>F44+F45</f>
        <v>0</v>
      </c>
    </row>
    <row r="44" spans="1:6" ht="21.75" customHeight="1">
      <c r="A44" s="89"/>
      <c r="B44" s="27" t="s">
        <v>18</v>
      </c>
      <c r="C44" s="74" t="s">
        <v>15</v>
      </c>
      <c r="D44" s="9">
        <v>0</v>
      </c>
      <c r="E44" s="9">
        <v>0</v>
      </c>
      <c r="F44" s="10"/>
    </row>
    <row r="45" spans="1:6" ht="21.75" customHeight="1">
      <c r="A45" s="89"/>
      <c r="B45" s="27" t="s">
        <v>19</v>
      </c>
      <c r="C45" s="74" t="s">
        <v>15</v>
      </c>
      <c r="D45" s="9">
        <f>'[1]3кв'!$C$25+'[1]4 кв'!$C$25</f>
        <v>0.33799999999999997</v>
      </c>
      <c r="E45" s="9"/>
      <c r="F45" s="10"/>
    </row>
    <row r="46" spans="1:6" ht="21.75" customHeight="1">
      <c r="A46" s="89" t="s">
        <v>37</v>
      </c>
      <c r="B46" s="26" t="s">
        <v>21</v>
      </c>
      <c r="C46" s="74" t="s">
        <v>15</v>
      </c>
      <c r="D46" s="9">
        <v>0</v>
      </c>
      <c r="E46" s="9">
        <v>0</v>
      </c>
      <c r="F46" s="10"/>
    </row>
    <row r="47" spans="1:6" ht="21.75" customHeight="1">
      <c r="A47" s="89"/>
      <c r="B47" s="27" t="s">
        <v>18</v>
      </c>
      <c r="C47" s="74" t="s">
        <v>15</v>
      </c>
      <c r="D47" s="9"/>
      <c r="E47" s="9"/>
      <c r="F47" s="10"/>
    </row>
    <row r="48" spans="1:6" ht="21.75" customHeight="1">
      <c r="A48" s="89"/>
      <c r="B48" s="27" t="s">
        <v>19</v>
      </c>
      <c r="C48" s="74" t="s">
        <v>15</v>
      </c>
      <c r="D48" s="9"/>
      <c r="E48" s="9"/>
      <c r="F48" s="10"/>
    </row>
    <row r="49" spans="1:6" ht="34.5" customHeight="1">
      <c r="A49" s="74" t="s">
        <v>38</v>
      </c>
      <c r="B49" s="26" t="s">
        <v>39</v>
      </c>
      <c r="C49" s="74" t="s">
        <v>15</v>
      </c>
      <c r="D49" s="9">
        <f>D50</f>
        <v>458501</v>
      </c>
      <c r="E49" s="9">
        <f>E50</f>
        <v>410847</v>
      </c>
      <c r="F49" s="10">
        <f>F50</f>
        <v>471577</v>
      </c>
    </row>
    <row r="50" spans="1:6" ht="21.75" customHeight="1">
      <c r="A50" s="89" t="s">
        <v>40</v>
      </c>
      <c r="B50" s="28" t="s">
        <v>17</v>
      </c>
      <c r="C50" s="64" t="s">
        <v>15</v>
      </c>
      <c r="D50" s="14">
        <f>D51+D52</f>
        <v>458501</v>
      </c>
      <c r="E50" s="14">
        <f>E51+E52</f>
        <v>410847</v>
      </c>
      <c r="F50" s="15">
        <f>F51+F52</f>
        <v>471577</v>
      </c>
    </row>
    <row r="51" spans="1:6" ht="21.75" customHeight="1">
      <c r="A51" s="89"/>
      <c r="B51" s="27" t="s">
        <v>18</v>
      </c>
      <c r="C51" s="74" t="s">
        <v>15</v>
      </c>
      <c r="D51" s="9">
        <f>242022</f>
        <v>242022</v>
      </c>
      <c r="E51" s="9">
        <f>212360</f>
        <v>212360</v>
      </c>
      <c r="F51" s="10">
        <f>242725</f>
        <v>242725</v>
      </c>
    </row>
    <row r="52" spans="1:6" ht="21.75" customHeight="1">
      <c r="A52" s="89"/>
      <c r="B52" s="27" t="s">
        <v>19</v>
      </c>
      <c r="C52" s="74" t="s">
        <v>15</v>
      </c>
      <c r="D52" s="9">
        <f>216479</f>
        <v>216479</v>
      </c>
      <c r="E52" s="9">
        <f>198487</f>
        <v>198487</v>
      </c>
      <c r="F52" s="10">
        <f>228852</f>
        <v>228852</v>
      </c>
    </row>
    <row r="53" spans="1:6" ht="21.75" customHeight="1">
      <c r="A53" s="89" t="s">
        <v>41</v>
      </c>
      <c r="B53" s="26" t="s">
        <v>21</v>
      </c>
      <c r="C53" s="74" t="s">
        <v>15</v>
      </c>
      <c r="D53" s="9"/>
      <c r="E53" s="9"/>
      <c r="F53" s="10"/>
    </row>
    <row r="54" spans="1:6" ht="21.75" customHeight="1">
      <c r="A54" s="89"/>
      <c r="B54" s="27" t="s">
        <v>18</v>
      </c>
      <c r="C54" s="74" t="s">
        <v>15</v>
      </c>
      <c r="D54" s="9"/>
      <c r="E54" s="9"/>
      <c r="F54" s="10"/>
    </row>
    <row r="55" spans="1:6" ht="21.75" customHeight="1">
      <c r="A55" s="89"/>
      <c r="B55" s="27" t="s">
        <v>19</v>
      </c>
      <c r="C55" s="74" t="s">
        <v>15</v>
      </c>
      <c r="D55" s="9"/>
      <c r="E55" s="9"/>
      <c r="F55" s="10"/>
    </row>
    <row r="56" spans="1:6" ht="23.25" customHeight="1">
      <c r="A56" s="74" t="s">
        <v>42</v>
      </c>
      <c r="B56" s="26" t="s">
        <v>43</v>
      </c>
      <c r="C56" s="74" t="s">
        <v>15</v>
      </c>
      <c r="D56" s="9">
        <f>D57</f>
        <v>131989</v>
      </c>
      <c r="E56" s="9">
        <f>E57</f>
        <v>121120</v>
      </c>
      <c r="F56" s="10">
        <f>F57</f>
        <v>139022</v>
      </c>
    </row>
    <row r="57" spans="1:6" ht="21.75" customHeight="1">
      <c r="A57" s="74" t="s">
        <v>44</v>
      </c>
      <c r="B57" s="28" t="s">
        <v>17</v>
      </c>
      <c r="C57" s="64" t="s">
        <v>15</v>
      </c>
      <c r="D57" s="14">
        <f>D58+D59</f>
        <v>131989</v>
      </c>
      <c r="E57" s="14">
        <f>E58+E59</f>
        <v>121120</v>
      </c>
      <c r="F57" s="15">
        <f>F58+F59</f>
        <v>139022</v>
      </c>
    </row>
    <row r="58" spans="1:6" ht="21.75" customHeight="1">
      <c r="A58" s="74"/>
      <c r="B58" s="27" t="s">
        <v>18</v>
      </c>
      <c r="C58" s="74" t="s">
        <v>15</v>
      </c>
      <c r="D58" s="9">
        <f>658196-D51-D30-D23</f>
        <v>69066</v>
      </c>
      <c r="E58" s="9">
        <f>62605</f>
        <v>62605</v>
      </c>
      <c r="F58" s="10">
        <f>71556</f>
        <v>71556</v>
      </c>
    </row>
    <row r="59" spans="1:6" ht="21.75" customHeight="1">
      <c r="A59" s="74"/>
      <c r="B59" s="27" t="s">
        <v>19</v>
      </c>
      <c r="C59" s="74" t="s">
        <v>15</v>
      </c>
      <c r="D59" s="9">
        <f>600791-D52-D31-D24</f>
        <v>62923</v>
      </c>
      <c r="E59" s="9">
        <f>58515</f>
        <v>58515</v>
      </c>
      <c r="F59" s="10">
        <f>67466</f>
        <v>67466</v>
      </c>
    </row>
    <row r="60" spans="1:6" ht="21.75" customHeight="1">
      <c r="A60" s="74" t="s">
        <v>45</v>
      </c>
      <c r="B60" s="26" t="s">
        <v>21</v>
      </c>
      <c r="C60" s="74" t="s">
        <v>15</v>
      </c>
      <c r="D60" s="9"/>
      <c r="E60" s="9"/>
      <c r="F60" s="10"/>
    </row>
    <row r="61" spans="1:6" ht="21.75" customHeight="1">
      <c r="A61" s="74"/>
      <c r="B61" s="27" t="s">
        <v>18</v>
      </c>
      <c r="C61" s="74" t="s">
        <v>15</v>
      </c>
      <c r="D61" s="9"/>
      <c r="E61" s="9"/>
      <c r="F61" s="10"/>
    </row>
    <row r="62" spans="1:6" ht="21.75" customHeight="1">
      <c r="A62" s="74"/>
      <c r="B62" s="27" t="s">
        <v>19</v>
      </c>
      <c r="C62" s="74" t="s">
        <v>15</v>
      </c>
      <c r="D62" s="9"/>
      <c r="E62" s="9"/>
      <c r="F62" s="10"/>
    </row>
    <row r="63" spans="1:10" ht="50.25" customHeight="1">
      <c r="A63" s="94" t="s">
        <v>46</v>
      </c>
      <c r="B63" s="26" t="s">
        <v>47</v>
      </c>
      <c r="C63" s="74" t="s">
        <v>15</v>
      </c>
      <c r="D63" s="18">
        <f>D64+D67+D70+D73</f>
        <v>3272496</v>
      </c>
      <c r="E63" s="18">
        <f>E64+E67+E70+E73</f>
        <v>3013180</v>
      </c>
      <c r="F63" s="19">
        <f>F64+F67+F70+F73</f>
        <v>2992585</v>
      </c>
      <c r="I63" s="50"/>
      <c r="J63" s="52"/>
    </row>
    <row r="64" spans="1:10" ht="21.75" customHeight="1">
      <c r="A64" s="95"/>
      <c r="B64" s="29" t="s">
        <v>118</v>
      </c>
      <c r="C64" s="65" t="s">
        <v>15</v>
      </c>
      <c r="D64" s="16">
        <f>SUM(D65:D66)</f>
        <v>0</v>
      </c>
      <c r="E64" s="16">
        <f>SUM(E65:E66)</f>
        <v>0</v>
      </c>
      <c r="F64" s="17">
        <v>0</v>
      </c>
      <c r="J64" s="52"/>
    </row>
    <row r="65" spans="1:10" ht="21.75" customHeight="1">
      <c r="A65" s="95"/>
      <c r="B65" s="54" t="s">
        <v>18</v>
      </c>
      <c r="C65" s="66" t="s">
        <v>15</v>
      </c>
      <c r="D65" s="20"/>
      <c r="E65" s="20"/>
      <c r="F65" s="55">
        <v>0</v>
      </c>
      <c r="G65" s="56"/>
      <c r="H65" s="56"/>
      <c r="I65" s="56"/>
      <c r="J65" s="52"/>
    </row>
    <row r="66" spans="1:10" ht="21.75" customHeight="1">
      <c r="A66" s="95"/>
      <c r="B66" s="54" t="s">
        <v>19</v>
      </c>
      <c r="C66" s="66" t="s">
        <v>15</v>
      </c>
      <c r="D66" s="20"/>
      <c r="E66" s="20"/>
      <c r="F66" s="55">
        <v>0</v>
      </c>
      <c r="G66" s="56"/>
      <c r="H66" s="56"/>
      <c r="I66" s="56"/>
      <c r="J66" s="52"/>
    </row>
    <row r="67" spans="1:10" ht="21.75" customHeight="1">
      <c r="A67" s="95"/>
      <c r="B67" s="29" t="s">
        <v>137</v>
      </c>
      <c r="C67" s="65" t="s">
        <v>15</v>
      </c>
      <c r="D67" s="16">
        <f>SUM(D68:D69)</f>
        <v>1401374</v>
      </c>
      <c r="E67" s="16">
        <f>SUM(E68:E69)</f>
        <v>1334760</v>
      </c>
      <c r="F67" s="17">
        <f>SUM(F68:F69)</f>
        <v>1386789</v>
      </c>
      <c r="J67" s="52"/>
    </row>
    <row r="68" spans="1:10" ht="21.75" customHeight="1">
      <c r="A68" s="95"/>
      <c r="B68" s="27" t="s">
        <v>18</v>
      </c>
      <c r="C68" s="74" t="s">
        <v>15</v>
      </c>
      <c r="D68" s="9">
        <f>703579</f>
        <v>703579</v>
      </c>
      <c r="E68" s="9">
        <f>634570</f>
        <v>634570</v>
      </c>
      <c r="F68" s="10">
        <f>659.103*1000</f>
        <v>659103</v>
      </c>
      <c r="J68" s="52"/>
    </row>
    <row r="69" spans="1:10" ht="21.75" customHeight="1">
      <c r="A69" s="95"/>
      <c r="B69" s="27" t="s">
        <v>19</v>
      </c>
      <c r="C69" s="74" t="s">
        <v>15</v>
      </c>
      <c r="D69" s="9">
        <f>697795</f>
        <v>697795</v>
      </c>
      <c r="E69" s="9">
        <f>700190</f>
        <v>700190</v>
      </c>
      <c r="F69" s="10">
        <f>727.686*1000</f>
        <v>727686</v>
      </c>
      <c r="J69" s="52"/>
    </row>
    <row r="70" spans="1:10" ht="21.75" customHeight="1">
      <c r="A70" s="95"/>
      <c r="B70" s="29" t="s">
        <v>48</v>
      </c>
      <c r="C70" s="65" t="s">
        <v>15</v>
      </c>
      <c r="D70" s="16">
        <f>SUM(D71:D72)</f>
        <v>1220681</v>
      </c>
      <c r="E70" s="16">
        <f>SUM(E71:E72)</f>
        <v>1125540</v>
      </c>
      <c r="F70" s="17">
        <f>SUM(F71:F72)</f>
        <v>1118906</v>
      </c>
      <c r="J70" s="52"/>
    </row>
    <row r="71" spans="1:10" ht="21.75" customHeight="1">
      <c r="A71" s="95"/>
      <c r="B71" s="27" t="s">
        <v>18</v>
      </c>
      <c r="C71" s="74" t="s">
        <v>15</v>
      </c>
      <c r="D71" s="9">
        <f>583421</f>
        <v>583421</v>
      </c>
      <c r="E71" s="9">
        <f>535100</f>
        <v>535100</v>
      </c>
      <c r="F71" s="10">
        <f>531.785*1000</f>
        <v>531785</v>
      </c>
      <c r="J71" s="52"/>
    </row>
    <row r="72" spans="1:10" ht="21.75" customHeight="1">
      <c r="A72" s="95"/>
      <c r="B72" s="27" t="s">
        <v>19</v>
      </c>
      <c r="C72" s="74" t="s">
        <v>15</v>
      </c>
      <c r="D72" s="9">
        <f>637260</f>
        <v>637260</v>
      </c>
      <c r="E72" s="9">
        <f>590440</f>
        <v>590440</v>
      </c>
      <c r="F72" s="10">
        <f>587.121*1000</f>
        <v>587121</v>
      </c>
      <c r="J72" s="52"/>
    </row>
    <row r="73" spans="1:10" ht="21.75" customHeight="1">
      <c r="A73" s="95"/>
      <c r="B73" s="29" t="s">
        <v>49</v>
      </c>
      <c r="C73" s="65" t="s">
        <v>15</v>
      </c>
      <c r="D73" s="16">
        <f>SUM(D74:D75)</f>
        <v>650441</v>
      </c>
      <c r="E73" s="16">
        <f>SUM(E74:E75)</f>
        <v>552880</v>
      </c>
      <c r="F73" s="17">
        <f>SUM(F74:F75)</f>
        <v>486890</v>
      </c>
      <c r="J73" s="52"/>
    </row>
    <row r="74" spans="1:10" ht="21.75" customHeight="1">
      <c r="A74" s="95"/>
      <c r="B74" s="27" t="s">
        <v>18</v>
      </c>
      <c r="C74" s="74" t="s">
        <v>15</v>
      </c>
      <c r="D74" s="9">
        <f>342268</f>
        <v>342268</v>
      </c>
      <c r="E74" s="9">
        <f>262850</f>
        <v>262850</v>
      </c>
      <c r="F74" s="10">
        <f>232.743*1000</f>
        <v>232743</v>
      </c>
      <c r="J74" s="52"/>
    </row>
    <row r="75" spans="1:10" ht="21.75" customHeight="1">
      <c r="A75" s="96"/>
      <c r="B75" s="27" t="s">
        <v>19</v>
      </c>
      <c r="C75" s="74" t="s">
        <v>15</v>
      </c>
      <c r="D75" s="9">
        <f>308173</f>
        <v>308173</v>
      </c>
      <c r="E75" s="9">
        <f>290030</f>
        <v>290030</v>
      </c>
      <c r="F75" s="10">
        <f>254.147*1000</f>
        <v>254147</v>
      </c>
      <c r="J75" s="52"/>
    </row>
    <row r="76" spans="1:10" ht="47.25" customHeight="1">
      <c r="A76" s="89" t="s">
        <v>50</v>
      </c>
      <c r="B76" s="26" t="s">
        <v>51</v>
      </c>
      <c r="C76" s="74" t="s">
        <v>15</v>
      </c>
      <c r="D76" s="18">
        <f>SUM(D77:D78)</f>
        <v>576260</v>
      </c>
      <c r="E76" s="18">
        <f>SUM(E77:E78)</f>
        <v>802330</v>
      </c>
      <c r="F76" s="19">
        <f>SUM(F77:F78)</f>
        <v>576600</v>
      </c>
      <c r="J76" s="52"/>
    </row>
    <row r="77" spans="1:6" ht="21.75" customHeight="1">
      <c r="A77" s="89"/>
      <c r="B77" s="27" t="s">
        <v>52</v>
      </c>
      <c r="C77" s="74" t="s">
        <v>15</v>
      </c>
      <c r="D77" s="9">
        <f>272367</f>
        <v>272367</v>
      </c>
      <c r="E77" s="9">
        <f>435320</f>
        <v>435320</v>
      </c>
      <c r="F77" s="10">
        <f>322.453*1000</f>
        <v>322453</v>
      </c>
    </row>
    <row r="78" spans="1:6" ht="21.75" customHeight="1">
      <c r="A78" s="89"/>
      <c r="B78" s="27" t="s">
        <v>53</v>
      </c>
      <c r="C78" s="74" t="s">
        <v>15</v>
      </c>
      <c r="D78" s="9">
        <f>303893</f>
        <v>303893</v>
      </c>
      <c r="E78" s="9">
        <f>367010</f>
        <v>367010</v>
      </c>
      <c r="F78" s="10">
        <f>254.147*1000</f>
        <v>254147</v>
      </c>
    </row>
    <row r="79" spans="1:6" ht="16.5" customHeight="1">
      <c r="A79" s="74"/>
      <c r="B79" s="26"/>
      <c r="C79" s="74"/>
      <c r="D79" s="22"/>
      <c r="E79" s="22"/>
      <c r="F79" s="23"/>
    </row>
    <row r="80" spans="1:6" ht="27.75" customHeight="1">
      <c r="A80" s="74" t="s">
        <v>54</v>
      </c>
      <c r="B80" s="26" t="s">
        <v>60</v>
      </c>
      <c r="C80" s="74"/>
      <c r="D80" s="34">
        <f>SUM(D82,D83,D88)</f>
        <v>637571</v>
      </c>
      <c r="E80" s="34">
        <f>SUM(E82,E83,E88)</f>
        <v>637571</v>
      </c>
      <c r="F80" s="35">
        <f>SUM(F82,F83,F88)</f>
        <v>645770</v>
      </c>
    </row>
    <row r="81" spans="1:6" ht="12.75" customHeight="1">
      <c r="A81" s="74"/>
      <c r="B81" s="26" t="s">
        <v>12</v>
      </c>
      <c r="C81" s="74"/>
      <c r="D81" s="22">
        <v>0</v>
      </c>
      <c r="E81" s="22">
        <v>0</v>
      </c>
      <c r="F81" s="23">
        <v>0</v>
      </c>
    </row>
    <row r="82" spans="1:9" ht="29.25" customHeight="1">
      <c r="A82" s="74" t="s">
        <v>55</v>
      </c>
      <c r="B82" s="26" t="s">
        <v>62</v>
      </c>
      <c r="C82" s="77" t="s">
        <v>63</v>
      </c>
      <c r="D82" s="22">
        <f>589883</f>
        <v>589883</v>
      </c>
      <c r="E82" s="22">
        <f>589883</f>
        <v>589883</v>
      </c>
      <c r="F82" s="60">
        <f>597189</f>
        <v>597189</v>
      </c>
      <c r="I82" s="50"/>
    </row>
    <row r="83" spans="1:6" ht="45.75" customHeight="1">
      <c r="A83" s="89" t="s">
        <v>56</v>
      </c>
      <c r="B83" s="26" t="s">
        <v>65</v>
      </c>
      <c r="C83" s="77" t="s">
        <v>63</v>
      </c>
      <c r="D83" s="22">
        <f>SUM(D84:D87)</f>
        <v>47078</v>
      </c>
      <c r="E83" s="22">
        <f>SUM(E84:E87)</f>
        <v>47078</v>
      </c>
      <c r="F83" s="23">
        <f>SUM(F84:F87)</f>
        <v>48008</v>
      </c>
    </row>
    <row r="84" spans="1:9" ht="12.75" customHeight="1">
      <c r="A84" s="89"/>
      <c r="B84" s="104" t="s">
        <v>119</v>
      </c>
      <c r="C84" s="94" t="s">
        <v>63</v>
      </c>
      <c r="D84" s="98">
        <f>46129</f>
        <v>46129</v>
      </c>
      <c r="E84" s="100">
        <f>46129</f>
        <v>46129</v>
      </c>
      <c r="F84" s="102">
        <v>47078</v>
      </c>
      <c r="I84" s="50"/>
    </row>
    <row r="85" spans="1:6" ht="12.75" customHeight="1">
      <c r="A85" s="89"/>
      <c r="B85" s="105"/>
      <c r="C85" s="96"/>
      <c r="D85" s="99"/>
      <c r="E85" s="101"/>
      <c r="F85" s="103"/>
    </row>
    <row r="86" spans="1:6" ht="15.75" customHeight="1">
      <c r="A86" s="89"/>
      <c r="B86" s="26" t="s">
        <v>48</v>
      </c>
      <c r="C86" s="77" t="s">
        <v>63</v>
      </c>
      <c r="D86" s="34">
        <f>816</f>
        <v>816</v>
      </c>
      <c r="E86" s="22">
        <f>816</f>
        <v>816</v>
      </c>
      <c r="F86" s="23">
        <f>819</f>
        <v>819</v>
      </c>
    </row>
    <row r="87" spans="1:9" ht="15.75" customHeight="1">
      <c r="A87" s="89"/>
      <c r="B87" s="26" t="s">
        <v>49</v>
      </c>
      <c r="C87" s="77" t="s">
        <v>63</v>
      </c>
      <c r="D87" s="34">
        <f>133</f>
        <v>133</v>
      </c>
      <c r="E87" s="22">
        <f>133</f>
        <v>133</v>
      </c>
      <c r="F87" s="23">
        <f>111</f>
        <v>111</v>
      </c>
      <c r="I87" s="50"/>
    </row>
    <row r="88" spans="1:6" ht="18" customHeight="1">
      <c r="A88" s="59" t="s">
        <v>57</v>
      </c>
      <c r="B88" s="26" t="s">
        <v>58</v>
      </c>
      <c r="C88" s="77"/>
      <c r="D88" s="34">
        <f>610</f>
        <v>610</v>
      </c>
      <c r="E88" s="22">
        <f>610</f>
        <v>610</v>
      </c>
      <c r="F88" s="23">
        <f>573</f>
        <v>573</v>
      </c>
    </row>
    <row r="89" spans="1:6" ht="17.25" customHeight="1">
      <c r="A89" s="74" t="s">
        <v>59</v>
      </c>
      <c r="B89" s="26" t="s">
        <v>67</v>
      </c>
      <c r="C89" s="77" t="s">
        <v>63</v>
      </c>
      <c r="D89" s="34">
        <f>D80</f>
        <v>637571</v>
      </c>
      <c r="E89" s="34">
        <f>E80</f>
        <v>637571</v>
      </c>
      <c r="F89" s="35">
        <f>F80</f>
        <v>645770</v>
      </c>
    </row>
    <row r="90" spans="1:6" ht="12.75" customHeight="1">
      <c r="A90" s="74"/>
      <c r="B90" s="26"/>
      <c r="C90" s="74"/>
      <c r="D90" s="4"/>
      <c r="E90" s="4"/>
      <c r="F90" s="5"/>
    </row>
    <row r="91" spans="1:6" ht="31.5" customHeight="1">
      <c r="A91" s="74" t="s">
        <v>66</v>
      </c>
      <c r="B91" s="26" t="s">
        <v>69</v>
      </c>
      <c r="C91" s="77" t="s">
        <v>70</v>
      </c>
      <c r="D91" s="9">
        <v>1938095.072</v>
      </c>
      <c r="E91" s="9">
        <v>2043552.7246</v>
      </c>
      <c r="F91" s="35">
        <v>3362325.2642</v>
      </c>
    </row>
    <row r="92" spans="1:6" ht="12.75" customHeight="1">
      <c r="A92" s="74"/>
      <c r="B92" s="26"/>
      <c r="C92" s="74"/>
      <c r="D92" s="4"/>
      <c r="E92" s="4"/>
      <c r="F92" s="5"/>
    </row>
    <row r="93" spans="1:6" ht="33" customHeight="1">
      <c r="A93" s="74" t="s">
        <v>68</v>
      </c>
      <c r="B93" s="26" t="s">
        <v>72</v>
      </c>
      <c r="C93" s="74"/>
      <c r="D93" s="4"/>
      <c r="E93" s="4"/>
      <c r="F93" s="5"/>
    </row>
    <row r="94" spans="1:6" ht="24.75" customHeight="1">
      <c r="A94" s="74" t="s">
        <v>123</v>
      </c>
      <c r="B94" s="26" t="s">
        <v>73</v>
      </c>
      <c r="C94" s="77" t="s">
        <v>74</v>
      </c>
      <c r="D94" s="24">
        <v>404</v>
      </c>
      <c r="E94" s="24" t="s">
        <v>121</v>
      </c>
      <c r="F94" s="7" t="s">
        <v>121</v>
      </c>
    </row>
    <row r="95" spans="1:6" ht="33" customHeight="1">
      <c r="A95" s="74" t="s">
        <v>124</v>
      </c>
      <c r="B95" s="26" t="s">
        <v>75</v>
      </c>
      <c r="C95" s="74" t="s">
        <v>76</v>
      </c>
      <c r="D95" s="62">
        <v>50.069</v>
      </c>
      <c r="E95" s="62" t="s">
        <v>121</v>
      </c>
      <c r="F95" s="61" t="s">
        <v>121</v>
      </c>
    </row>
    <row r="96" spans="1:6" ht="46.5" customHeight="1">
      <c r="A96" s="77" t="s">
        <v>125</v>
      </c>
      <c r="B96" s="30" t="s">
        <v>77</v>
      </c>
      <c r="C96" s="74"/>
      <c r="D96" s="24" t="s">
        <v>135</v>
      </c>
      <c r="E96" s="73" t="s">
        <v>135</v>
      </c>
      <c r="F96" s="61" t="s">
        <v>121</v>
      </c>
    </row>
    <row r="97" spans="1:6" ht="16.5" customHeight="1">
      <c r="A97" s="74"/>
      <c r="B97" s="26"/>
      <c r="C97" s="74"/>
      <c r="D97" s="4"/>
      <c r="E97" s="4"/>
      <c r="F97" s="5"/>
    </row>
    <row r="98" spans="1:6" s="13" customFormat="1" ht="18" customHeight="1">
      <c r="A98" s="77" t="s">
        <v>71</v>
      </c>
      <c r="B98" s="30" t="s">
        <v>79</v>
      </c>
      <c r="C98" s="77" t="s">
        <v>70</v>
      </c>
      <c r="D98" s="9">
        <v>364906.6</v>
      </c>
      <c r="E98" s="9">
        <v>222483.046</v>
      </c>
      <c r="F98" s="10">
        <f>203882.323</f>
        <v>203882.323</v>
      </c>
    </row>
    <row r="99" spans="1:6" s="13" customFormat="1" ht="18" customHeight="1">
      <c r="A99" s="77"/>
      <c r="B99" s="30"/>
      <c r="C99" s="77"/>
      <c r="D99" s="9"/>
      <c r="E99" s="9"/>
      <c r="F99" s="10"/>
    </row>
    <row r="100" spans="1:6" s="13" customFormat="1" ht="18" customHeight="1">
      <c r="A100" s="77" t="s">
        <v>78</v>
      </c>
      <c r="B100" s="30" t="s">
        <v>100</v>
      </c>
      <c r="C100" s="77" t="s">
        <v>70</v>
      </c>
      <c r="D100" s="9">
        <v>228903.5</v>
      </c>
      <c r="E100" s="9">
        <v>420701.483</v>
      </c>
      <c r="F100" s="10">
        <f>429222.631</f>
        <v>429222.631</v>
      </c>
    </row>
    <row r="101" spans="1:6" s="13" customFormat="1" ht="18" customHeight="1">
      <c r="A101" s="77"/>
      <c r="B101" s="30"/>
      <c r="C101" s="77"/>
      <c r="D101" s="9"/>
      <c r="E101" s="9"/>
      <c r="F101" s="10"/>
    </row>
    <row r="102" spans="1:6" s="13" customFormat="1" ht="18" customHeight="1">
      <c r="A102" s="77" t="s">
        <v>80</v>
      </c>
      <c r="B102" s="30" t="s">
        <v>120</v>
      </c>
      <c r="C102" s="77" t="s">
        <v>70</v>
      </c>
      <c r="D102" s="20">
        <v>299132</v>
      </c>
      <c r="E102" s="9">
        <v>209784.22</v>
      </c>
      <c r="F102" s="10">
        <f>227469.029</f>
        <v>227469.029</v>
      </c>
    </row>
    <row r="103" spans="1:6" s="13" customFormat="1" ht="18" customHeight="1">
      <c r="A103" s="77"/>
      <c r="B103" s="30"/>
      <c r="C103" s="77"/>
      <c r="D103" s="9"/>
      <c r="E103" s="9"/>
      <c r="F103" s="10"/>
    </row>
    <row r="104" spans="1:6" s="13" customFormat="1" ht="18" customHeight="1">
      <c r="A104" s="77" t="s">
        <v>81</v>
      </c>
      <c r="B104" s="30" t="s">
        <v>83</v>
      </c>
      <c r="C104" s="77" t="s">
        <v>70</v>
      </c>
      <c r="D104" s="9">
        <v>91990.8</v>
      </c>
      <c r="E104" s="9" t="s">
        <v>121</v>
      </c>
      <c r="F104" s="10" t="s">
        <v>121</v>
      </c>
    </row>
    <row r="105" spans="1:6" s="13" customFormat="1" ht="18" customHeight="1">
      <c r="A105" s="77"/>
      <c r="B105" s="30"/>
      <c r="C105" s="77"/>
      <c r="D105" s="9"/>
      <c r="E105" s="9"/>
      <c r="F105" s="10"/>
    </row>
    <row r="106" spans="1:6" s="13" customFormat="1" ht="39.75" customHeight="1">
      <c r="A106" s="77" t="s">
        <v>82</v>
      </c>
      <c r="B106" s="30" t="s">
        <v>85</v>
      </c>
      <c r="C106" s="77" t="s">
        <v>86</v>
      </c>
      <c r="D106" s="9" t="s">
        <v>121</v>
      </c>
      <c r="E106" s="9" t="s">
        <v>121</v>
      </c>
      <c r="F106" s="10" t="s">
        <v>121</v>
      </c>
    </row>
    <row r="107" spans="1:6" s="13" customFormat="1" ht="18" customHeight="1">
      <c r="A107" s="75"/>
      <c r="B107" s="31"/>
      <c r="C107" s="75"/>
      <c r="D107" s="11"/>
      <c r="E107" s="11"/>
      <c r="F107" s="12"/>
    </row>
    <row r="108" spans="1:6" s="13" customFormat="1" ht="91.5" customHeight="1">
      <c r="A108" s="76" t="s">
        <v>84</v>
      </c>
      <c r="B108" s="32" t="s">
        <v>87</v>
      </c>
      <c r="C108" s="76"/>
      <c r="D108" s="84" t="s">
        <v>138</v>
      </c>
      <c r="E108" s="84" t="s">
        <v>138</v>
      </c>
      <c r="F108" s="78" t="s">
        <v>139</v>
      </c>
    </row>
    <row r="109" ht="15">
      <c r="A109" s="3"/>
    </row>
    <row r="110" spans="1:6" ht="15">
      <c r="A110" s="3"/>
      <c r="B110" s="97" t="s">
        <v>88</v>
      </c>
      <c r="C110" s="97"/>
      <c r="D110" s="97"/>
      <c r="E110" s="97"/>
      <c r="F110" s="97"/>
    </row>
    <row r="112" spans="2:6" ht="50.25" customHeight="1">
      <c r="B112" s="90" t="s">
        <v>122</v>
      </c>
      <c r="C112" s="91"/>
      <c r="D112" s="91"/>
      <c r="E112" s="91"/>
      <c r="F112" s="91"/>
    </row>
    <row r="113" spans="2:6" ht="35.25" customHeight="1">
      <c r="B113" s="91" t="s">
        <v>136</v>
      </c>
      <c r="C113" s="91"/>
      <c r="D113" s="91"/>
      <c r="E113" s="91"/>
      <c r="F113" s="91"/>
    </row>
    <row r="114" spans="2:6" ht="45" customHeight="1">
      <c r="B114" s="92" t="s">
        <v>126</v>
      </c>
      <c r="C114" s="93"/>
      <c r="D114" s="93"/>
      <c r="E114" s="93"/>
      <c r="F114" s="93"/>
    </row>
  </sheetData>
  <sheetProtection/>
  <mergeCells count="24">
    <mergeCell ref="A14:A16"/>
    <mergeCell ref="A17:A20"/>
    <mergeCell ref="A22:A24"/>
    <mergeCell ref="A25:A27"/>
    <mergeCell ref="A29:A31"/>
    <mergeCell ref="A32:A34"/>
    <mergeCell ref="D84:D85"/>
    <mergeCell ref="E84:E85"/>
    <mergeCell ref="F84:F85"/>
    <mergeCell ref="B84:B85"/>
    <mergeCell ref="C84:C85"/>
    <mergeCell ref="A36:A38"/>
    <mergeCell ref="A39:A41"/>
    <mergeCell ref="A43:A45"/>
    <mergeCell ref="A46:A48"/>
    <mergeCell ref="A50:A52"/>
    <mergeCell ref="A53:A55"/>
    <mergeCell ref="B112:F112"/>
    <mergeCell ref="B113:F113"/>
    <mergeCell ref="B114:F114"/>
    <mergeCell ref="A63:A75"/>
    <mergeCell ref="A76:A78"/>
    <mergeCell ref="A83:A87"/>
    <mergeCell ref="B110:F1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7">
      <selection activeCell="L12" sqref="L12"/>
    </sheetView>
  </sheetViews>
  <sheetFormatPr defaultColWidth="9.140625" defaultRowHeight="15"/>
  <cols>
    <col min="2" max="2" width="66.7109375" style="0" customWidth="1"/>
    <col min="3" max="3" width="18.57421875" style="0" customWidth="1"/>
    <col min="4" max="5" width="12.28125" style="0" customWidth="1"/>
    <col min="6" max="9" width="11.421875" style="0" customWidth="1"/>
    <col min="16" max="16" width="9.140625" style="0" customWidth="1"/>
  </cols>
  <sheetData>
    <row r="1" ht="15">
      <c r="I1" s="1" t="s">
        <v>90</v>
      </c>
    </row>
    <row r="2" ht="15">
      <c r="I2" s="1" t="s">
        <v>1</v>
      </c>
    </row>
    <row r="3" ht="15">
      <c r="I3" s="1" t="s">
        <v>2</v>
      </c>
    </row>
    <row r="4" ht="15">
      <c r="I4" s="1" t="s">
        <v>3</v>
      </c>
    </row>
    <row r="5" ht="15">
      <c r="H5" s="2"/>
    </row>
    <row r="6" ht="15">
      <c r="C6" s="2" t="s">
        <v>91</v>
      </c>
    </row>
    <row r="7" ht="15">
      <c r="A7" s="2"/>
    </row>
    <row r="8" ht="15">
      <c r="A8" s="3"/>
    </row>
    <row r="9" spans="1:9" ht="60" customHeight="1">
      <c r="A9" s="106" t="s">
        <v>4</v>
      </c>
      <c r="B9" s="108" t="s">
        <v>5</v>
      </c>
      <c r="C9" s="106" t="s">
        <v>92</v>
      </c>
      <c r="D9" s="110" t="s">
        <v>7</v>
      </c>
      <c r="E9" s="111"/>
      <c r="F9" s="112" t="s">
        <v>8</v>
      </c>
      <c r="G9" s="112"/>
      <c r="H9" s="110" t="s">
        <v>9</v>
      </c>
      <c r="I9" s="111"/>
    </row>
    <row r="10" spans="1:9" ht="30">
      <c r="A10" s="107"/>
      <c r="B10" s="109"/>
      <c r="C10" s="107"/>
      <c r="D10" s="36" t="s">
        <v>93</v>
      </c>
      <c r="E10" s="33" t="s">
        <v>94</v>
      </c>
      <c r="F10" s="38" t="s">
        <v>93</v>
      </c>
      <c r="G10" s="37" t="s">
        <v>94</v>
      </c>
      <c r="H10" s="36" t="s">
        <v>93</v>
      </c>
      <c r="I10" s="33" t="s">
        <v>94</v>
      </c>
    </row>
    <row r="11" spans="1:9" ht="29.25" customHeight="1">
      <c r="A11" s="120" t="s">
        <v>59</v>
      </c>
      <c r="B11" s="119" t="s">
        <v>96</v>
      </c>
      <c r="C11" s="57"/>
      <c r="D11" s="121"/>
      <c r="E11" s="122"/>
      <c r="F11" s="121"/>
      <c r="G11" s="58"/>
      <c r="H11" s="132"/>
      <c r="I11" s="133"/>
    </row>
    <row r="12" spans="1:9" ht="30" customHeight="1">
      <c r="A12" s="6" t="s">
        <v>61</v>
      </c>
      <c r="B12" s="58" t="s">
        <v>97</v>
      </c>
      <c r="C12" s="6" t="s">
        <v>95</v>
      </c>
      <c r="D12" s="123">
        <v>572.87</v>
      </c>
      <c r="E12" s="124">
        <v>692.28</v>
      </c>
      <c r="F12" s="123">
        <v>692.28</v>
      </c>
      <c r="G12" s="130">
        <v>712.83</v>
      </c>
      <c r="H12" s="134">
        <f>G12</f>
        <v>712.83</v>
      </c>
      <c r="I12" s="135">
        <v>1242.65227001969</v>
      </c>
    </row>
    <row r="13" spans="1:9" ht="50.25" customHeight="1">
      <c r="A13" s="83" t="s">
        <v>64</v>
      </c>
      <c r="B13" s="114" t="s">
        <v>98</v>
      </c>
      <c r="C13" s="83" t="s">
        <v>95</v>
      </c>
      <c r="D13" s="125">
        <v>253.26</v>
      </c>
      <c r="E13" s="126">
        <v>253.26</v>
      </c>
      <c r="F13" s="123">
        <v>253.26</v>
      </c>
      <c r="G13" s="130">
        <v>407.71</v>
      </c>
      <c r="H13" s="136">
        <f>G13</f>
        <v>407.71</v>
      </c>
      <c r="I13" s="138">
        <v>4510.43761136893</v>
      </c>
    </row>
    <row r="14" spans="1:9" ht="50.25" customHeight="1">
      <c r="A14" s="115" t="s">
        <v>99</v>
      </c>
      <c r="B14" s="129" t="s">
        <v>143</v>
      </c>
      <c r="C14" s="115" t="s">
        <v>95</v>
      </c>
      <c r="D14" s="123"/>
      <c r="E14" s="127"/>
      <c r="F14" s="123"/>
      <c r="G14" s="130"/>
      <c r="H14" s="136"/>
      <c r="I14" s="137"/>
    </row>
    <row r="15" spans="1:9" ht="18.75" customHeight="1">
      <c r="A15" s="95"/>
      <c r="B15" s="113" t="s">
        <v>144</v>
      </c>
      <c r="C15" s="95"/>
      <c r="D15" s="125">
        <v>416.25</v>
      </c>
      <c r="E15" s="126">
        <v>566.68</v>
      </c>
      <c r="F15" s="128">
        <v>526.9</v>
      </c>
      <c r="G15" s="131">
        <v>526.9</v>
      </c>
      <c r="H15" s="139">
        <f>G15</f>
        <v>526.9</v>
      </c>
      <c r="I15" s="138">
        <v>580.201754051284</v>
      </c>
    </row>
    <row r="16" spans="1:9" ht="18.75" customHeight="1">
      <c r="A16" s="95"/>
      <c r="B16" s="117" t="s">
        <v>48</v>
      </c>
      <c r="C16" s="95"/>
      <c r="D16" s="125">
        <v>186.66</v>
      </c>
      <c r="E16" s="126">
        <v>306.3</v>
      </c>
      <c r="F16" s="128">
        <v>231.59</v>
      </c>
      <c r="G16" s="131">
        <v>231.59</v>
      </c>
      <c r="H16" s="139">
        <f>G16</f>
        <v>231.59</v>
      </c>
      <c r="I16" s="138">
        <v>273.515999854123</v>
      </c>
    </row>
    <row r="17" spans="1:9" ht="18.75" customHeight="1">
      <c r="A17" s="116"/>
      <c r="B17" s="118" t="s">
        <v>49</v>
      </c>
      <c r="C17" s="116"/>
      <c r="D17" s="125">
        <v>138.75</v>
      </c>
      <c r="E17" s="126">
        <v>188.89</v>
      </c>
      <c r="F17" s="128">
        <v>175.63</v>
      </c>
      <c r="G17" s="131">
        <v>175.63</v>
      </c>
      <c r="H17" s="139">
        <f>G17</f>
        <v>175.63</v>
      </c>
      <c r="I17" s="138">
        <v>193.666207554729</v>
      </c>
    </row>
    <row r="18" spans="1:9" ht="15">
      <c r="A18" s="2"/>
      <c r="I18" s="21"/>
    </row>
    <row r="19" spans="1:9" ht="15">
      <c r="A19" s="3"/>
      <c r="B19" s="97" t="s">
        <v>88</v>
      </c>
      <c r="C19" s="97"/>
      <c r="D19" s="97"/>
      <c r="E19" s="97"/>
      <c r="F19" s="97"/>
      <c r="G19" s="97"/>
      <c r="H19" s="97"/>
      <c r="I19" s="97"/>
    </row>
  </sheetData>
  <sheetProtection/>
  <mergeCells count="9">
    <mergeCell ref="A14:A17"/>
    <mergeCell ref="C14:C17"/>
    <mergeCell ref="B19:I19"/>
    <mergeCell ref="F9:G9"/>
    <mergeCell ref="H9:I9"/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