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868" activeTab="0"/>
  </bookViews>
  <sheets>
    <sheet name="Лист1" sheetId="1" r:id="rId1"/>
    <sheet name="Прил 1" sheetId="2" r:id="rId2"/>
    <sheet name="Прил3" sheetId="3" r:id="rId3"/>
    <sheet name="Прил5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<sst xmlns="http://schemas.openxmlformats.org/spreadsheetml/2006/main" count="308" uniqueCount="146">
  <si>
    <t>Приложение N 3</t>
  </si>
  <si>
    <t>к предложению о размере цен</t>
  </si>
  <si>
    <t>(тарифов), долгосрочных</t>
  </si>
  <si>
    <t>параметров регулирования</t>
  </si>
  <si>
    <t>N 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</si>
  <si>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</si>
  <si>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</si>
  <si>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</si>
  <si>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 &lt;*&gt;</t>
  </si>
  <si>
    <t>Предложения 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</si>
  <si>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</si>
  <si>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</si>
  <si>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</si>
  <si>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</si>
  <si>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</si>
  <si>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</si>
  <si>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</si>
  <si>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</si>
  <si>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</si>
  <si>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</si>
  <si>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</si>
  <si>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</si>
  <si>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</si>
  <si>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</si>
  <si>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</si>
  <si>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</si>
  <si>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</si>
  <si>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</si>
  <si>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</si>
  <si>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</si>
  <si>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</si>
  <si>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</si>
  <si>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</si>
  <si>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</si>
  <si>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</si>
  <si>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</si>
  <si>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</si>
  <si>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</si>
  <si>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</si>
  <si>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</si>
  <si>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</si>
  <si>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</si>
  <si>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</si>
  <si>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</si>
  <si>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</si>
  <si>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</si>
  <si>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</si>
  <si>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</si>
  <si>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</si>
  <si>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</si>
  <si>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</si>
  <si>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</si>
  <si>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</si>
  <si>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</si>
  <si>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</si>
  <si>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2.1.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</si>
  <si>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</si>
  <si>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</si>
  <si>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</si>
  <si>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</si>
  <si>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</si>
  <si>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</si>
  <si>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</si>
  <si>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</si>
  <si>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</si>
  <si>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</si>
  <si>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</si>
  <si>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</si>
  <si>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</si>
  <si>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</si>
  <si>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</si>
  <si>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</si>
  <si>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</si>
  <si>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</si>
  <si>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</si>
  <si>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</si>
  <si>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</si>
  <si>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</si>
  <si>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</si>
  <si>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</si>
  <si>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</si>
  <si>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9.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</si>
  <si>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</si>
  <si>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</si>
  <si>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</si>
  <si>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</si>
  <si>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</si>
  <si>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</si>
  <si>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&lt;*&gt; Базовый период - год, предшествующий расчетному периоду регулирования.</t>
  </si>
  <si>
    <t>Раздел 2. Основные показатели деятельности гарантирующих поставщиков</t>
  </si>
  <si>
    <t>Приложение N 5</t>
  </si>
  <si>
    <t>Раздел 3. Цены (тарифы) по регулируемым видам  деятельности организации</t>
  </si>
  <si>
    <t>Единица изменения</t>
  </si>
  <si>
    <t>1-е полугодие</t>
  </si>
  <si>
    <t>2-е полугодие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</si>
  <si>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</si>
  <si>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</si>
  <si>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</si>
  <si>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</si>
  <si>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</si>
  <si>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</si>
  <si>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Резерв безнадежной дебиторской задолженности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</si>
  <si>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</si>
  <si>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</si>
  <si>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</si>
  <si>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</si>
  <si>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</si>
  <si>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</si>
  <si>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</si>
  <si>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</si>
  <si>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</si>
  <si>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</si>
  <si>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</si>
  <si>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Приложение N 1</t>
  </si>
  <si>
    <t>Публичное акционерное общество "Калужская сбытовая компания"</t>
  </si>
  <si>
    <t>ПАО "Калужская сбытовая компания"</t>
  </si>
  <si>
    <t>248001 г.Калуга, пер. Суворова, д.8</t>
  </si>
  <si>
    <t>Яшанин А.Н.</t>
  </si>
  <si>
    <t>sekretary@ksk.kaluga.ru</t>
  </si>
  <si>
    <t>тел.:  (4842) 54-96-55, 701-801</t>
  </si>
  <si>
    <t>менее 150 кВт *</t>
  </si>
  <si>
    <t>менее 670 кВт *</t>
  </si>
  <si>
    <t>Необходимые расходы из прибыли **</t>
  </si>
  <si>
    <t>****</t>
  </si>
  <si>
    <t>* Со 2 полугодия 2018 г. в соответствии с "Методическими указаниями по расчету сбытовых надбавок гарантирующих поставщиков с использованием метода сравнения аналогов", утвержденными  приказом ФАС России №1554/17 от 21.11.2017 г.  группа "менее 670 кВт" объединяет две группы "менее150 кВт" и "от 150 кВт до 670 кВт"</t>
  </si>
  <si>
    <t>5.1.</t>
  </si>
  <si>
    <t>5.2.</t>
  </si>
  <si>
    <t>5.3.</t>
  </si>
  <si>
    <t>**** Данные показатели в соответствии с Методическими указаниями по расчету сбытовых надбавок ( Приказ ФАС № 1554/17 от 21.11.2017г.) не утверждаются</t>
  </si>
  <si>
    <t>(полное и сокращенное наименование юридического лица)</t>
  </si>
  <si>
    <t>(расчетный период регулирования)</t>
  </si>
  <si>
    <t>год</t>
  </si>
  <si>
    <t>(вид цены (тарифа) на</t>
  </si>
  <si>
    <t>о размере цен (тарифов), долгосрочных параметров регулирования</t>
  </si>
  <si>
    <t>ПРЕДЛОЖЕНИЕ</t>
  </si>
  <si>
    <t>(ПАО "Калужская сбытовая компания")</t>
  </si>
  <si>
    <t xml:space="preserve">Показатели, утвержденные на базовый период </t>
  </si>
  <si>
    <t>№191-ТЗ от 22 января 2019 г. на 2019-2021гг.</t>
  </si>
  <si>
    <t>Уведомление Министерства сторительства и жилищно-коммунального хозяйства Калужской области от 22.06.2018г. № 1625-18 http://ksc.kaluga.ru/?content=doc&amp;id=4821&amp;dirid=742</t>
  </si>
  <si>
    <t>Уведомление Министерства сторительства и жилищно-коммунального хозяйства Калужской области от 22.06.2018г. № 1625-18 http://ksc.kaluga.ru/?content=doc&amp;id=4821&amp;dirid=743</t>
  </si>
  <si>
    <t>** На 2019г-2020г. указана величина расчетной предпринимательской прибыли в соответствии с Методическими указаниями по расчету сбытовых надбавок, утвержденными Приказом ФАС № 1554/17 от 21.11.2017г.</t>
  </si>
  <si>
    <t>до 670 кВт *</t>
  </si>
  <si>
    <t>до 670 кВт</t>
  </si>
  <si>
    <t>Отчетный период</t>
  </si>
  <si>
    <t>2021</t>
  </si>
  <si>
    <t>(4842) 701-852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</si>
</sst>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"/>
    <numFmt numFmtId="175" formatCode="0.0%"/>
    <numFmt numFmtId="176" formatCode="#,##0.00000"/>
    <numFmt numFmtId="177" formatCode="#,##0.000000"/>
    <numFmt numFmtId="178" formatCode="#,##0.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7" borderId="10" xfId="0" applyNumberFormat="1" applyFill="1" applyBorder="1" applyAlignment="1">
      <alignment horizontal="center" vertical="center" wrapText="1"/>
    </xf>
    <xf numFmtId="3" fontId="0" fillId="7" borderId="11" xfId="0" applyNumberForma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0" fillId="7" borderId="16" xfId="0" applyFill="1" applyBorder="1" applyAlignment="1">
      <alignment vertical="top" wrapText="1"/>
    </xf>
    <xf numFmtId="0" fontId="0" fillId="6" borderId="16" xfId="0" applyFill="1" applyBorder="1" applyAlignment="1">
      <alignment vertical="top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2" fillId="0" borderId="11" xfId="42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3" fontId="0" fillId="0" borderId="0" xfId="0" applyNumberFormat="1" applyAlignment="1">
      <alignment/>
    </xf>
    <xf numFmtId="3" fontId="36" fillId="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36" fillId="4" borderId="11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top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3" fontId="48" fillId="0" borderId="11" xfId="0" applyNumberFormat="1" applyFon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top" wrapText="1"/>
    </xf>
    <xf numFmtId="0" fontId="0" fillId="6" borderId="30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right"/>
      <protection/>
    </xf>
    <xf numFmtId="3" fontId="0" fillId="0" borderId="32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2" fontId="0" fillId="0" borderId="34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0" fillId="0" borderId="26" xfId="0" applyNumberFormat="1" applyFill="1" applyBorder="1" applyAlignment="1">
      <alignment horizontal="center" vertical="center" wrapText="1"/>
    </xf>
    <xf numFmtId="3" fontId="49" fillId="0" borderId="37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18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3" fontId="49" fillId="0" borderId="19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3" fontId="0" fillId="0" borderId="40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2" fontId="0" fillId="0" borderId="33" xfId="0" applyNumberForma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0" fillId="0" borderId="16" xfId="0" applyBorder="1" applyAlignment="1">
      <alignment horizontal="left" vertical="center" wrapText="1"/>
    </xf>
    <xf numFmtId="2" fontId="0" fillId="0" borderId="27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top" wrapText="1"/>
    </xf>
    <xf numFmtId="0" fontId="0" fillId="0" borderId="3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2" fontId="0" fillId="0" borderId="25" xfId="0" applyNumberFormat="1" applyFill="1" applyBorder="1" applyAlignment="1">
      <alignment horizontal="center" vertical="center" wrapText="1"/>
    </xf>
    <xf numFmtId="0" fontId="3" fillId="0" borderId="43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49" fontId="5" fillId="0" borderId="43" xfId="53" applyNumberFormat="1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0" fillId="0" borderId="30" xfId="0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4" fillId="0" borderId="45" xfId="0" applyNumberFormat="1" applyFont="1" applyBorder="1" applyAlignment="1">
      <alignment horizontal="center" vertical="center" wrapText="1"/>
    </xf>
    <xf numFmtId="3" fontId="24" fillId="0" borderId="46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3" fontId="24" fillId="0" borderId="40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bat\&#1069;&#1090;&#1072;&#1083;&#1086;&#1085;&#1099;%2020%20&#1054;&#1040;&#1054;%20&#1050;&#1057;&#1050;%2020_04_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58;&#1072;&#1088;&#1080;&#1092;%202019\&#1058;&#1072;&#1088;&#1080;&#1092;&#1099;%202019\&#1056;&#1072;&#1089;&#1095;&#1077;&#1090;&#1099;%202019\&#1044;&#1077;&#1082;&#1072;&#1073;&#1088;&#1100;\&#1069;&#1090;&#1072;&#1083;&#1086;&#1085;&#1099;%2019%20&#1054;&#1040;&#1054;%20&#1050;&#1057;&#1050;%2021_12_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Кол ТП 2018"/>
      <sheetName val="Кол ТП 2019"/>
      <sheetName val="Кол ТП 2020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СН Населен"/>
      <sheetName val="Ож выр н 19"/>
      <sheetName val="НР"/>
      <sheetName val="Заяв прибыль"/>
      <sheetName val="Заяв резерв"/>
      <sheetName val="приложение 8"/>
      <sheetName val="СН прочие"/>
      <sheetName val="Ож выр проч 19"/>
      <sheetName val=" НВВ и СН 2017"/>
      <sheetName val="СН СО"/>
      <sheetName val="ОЖ выр СО 18"/>
      <sheetName val="Свод"/>
      <sheetName val=" НВВ и СН 2018"/>
      <sheetName val="черновик"/>
    </sheetNames>
    <sheetDataSet>
      <sheetData sheetId="2">
        <row r="12">
          <cell r="C12">
            <v>353252</v>
          </cell>
          <cell r="D12">
            <v>185730</v>
          </cell>
          <cell r="E12">
            <v>5321</v>
          </cell>
          <cell r="F12">
            <v>10170</v>
          </cell>
          <cell r="H12">
            <v>39243</v>
          </cell>
          <cell r="I12">
            <v>699</v>
          </cell>
          <cell r="J12">
            <v>103</v>
          </cell>
          <cell r="K12">
            <v>441</v>
          </cell>
        </row>
      </sheetData>
      <sheetData sheetId="22">
        <row r="14">
          <cell r="B14">
            <v>1333116282.6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Кол ТП 2018"/>
      <sheetName val="Кол ТП 2019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СН Населен"/>
      <sheetName val="Ож выр н 18 В1"/>
      <sheetName val="НР"/>
      <sheetName val="Заяв прибыль"/>
      <sheetName val="Заяв резерв"/>
      <sheetName val="приложение 8"/>
      <sheetName val="СН прочие"/>
      <sheetName val="Ож выр проч 18"/>
      <sheetName val=" НВВ и СН 2017"/>
      <sheetName val="СН СО"/>
      <sheetName val="ОЖ выр СО 18"/>
      <sheetName val="Свод РЭК"/>
      <sheetName val="Свод"/>
      <sheetName val="Черновик 2"/>
      <sheetName val=" НВВ и СН 2018"/>
      <sheetName val="черновик"/>
    </sheetNames>
    <sheetDataSet>
      <sheetData sheetId="0">
        <row r="33">
          <cell r="J33">
            <v>412.2799</v>
          </cell>
          <cell r="Q33">
            <v>408.1343</v>
          </cell>
        </row>
        <row r="51">
          <cell r="J51">
            <v>280.46</v>
          </cell>
          <cell r="Q51">
            <v>269.97</v>
          </cell>
        </row>
        <row r="52">
          <cell r="J52">
            <v>198.4</v>
          </cell>
          <cell r="Q52">
            <v>190.97</v>
          </cell>
        </row>
        <row r="53">
          <cell r="J53">
            <v>42.62</v>
          </cell>
          <cell r="Q53">
            <v>41.02999999999999</v>
          </cell>
        </row>
        <row r="54">
          <cell r="J54">
            <v>63.98</v>
          </cell>
          <cell r="Q54">
            <v>61.56980000000001</v>
          </cell>
        </row>
        <row r="73">
          <cell r="J73">
            <v>677.739</v>
          </cell>
          <cell r="Q73">
            <v>668.326</v>
          </cell>
        </row>
        <row r="81">
          <cell r="J81">
            <v>607.0339999999999</v>
          </cell>
          <cell r="Q81">
            <v>598.6040000000002</v>
          </cell>
        </row>
        <row r="89">
          <cell r="J89">
            <v>439.75299999999993</v>
          </cell>
          <cell r="Q89">
            <v>433.6448999999999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y@ksk.kaluga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9:DS17"/>
  <sheetViews>
    <sheetView tabSelected="1" zoomScalePageLayoutView="0" workbookViewId="0" topLeftCell="A1">
      <selection activeCell="DT17" sqref="DT17"/>
    </sheetView>
  </sheetViews>
  <sheetFormatPr defaultColWidth="1.1484375" defaultRowHeight="15"/>
  <cols>
    <col min="1" max="16384" width="1.1484375" style="70" customWidth="1"/>
  </cols>
  <sheetData>
    <row r="9" spans="1:123" s="72" customFormat="1" ht="17.25">
      <c r="A9" s="118" t="s">
        <v>134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</row>
    <row r="10" spans="1:123" s="72" customFormat="1" ht="17.25">
      <c r="A10" s="118" t="s">
        <v>133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</row>
    <row r="11" spans="61:82" s="72" customFormat="1" ht="17.25">
      <c r="BI11" s="74" t="s">
        <v>132</v>
      </c>
      <c r="BK11" s="119" t="s">
        <v>144</v>
      </c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D11" s="73" t="s">
        <v>131</v>
      </c>
    </row>
    <row r="12" spans="63:80" s="71" customFormat="1" ht="9">
      <c r="BK12" s="120" t="s">
        <v>130</v>
      </c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</row>
    <row r="15" spans="19:105" ht="15">
      <c r="S15" s="117" t="s">
        <v>114</v>
      </c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</row>
    <row r="16" spans="19:105" s="71" customFormat="1" ht="9">
      <c r="S16" s="120" t="s">
        <v>129</v>
      </c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</row>
    <row r="17" spans="19:105" ht="15">
      <c r="S17" s="117" t="s">
        <v>135</v>
      </c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</row>
  </sheetData>
  <sheetProtection/>
  <mergeCells count="7">
    <mergeCell ref="S17:DA17"/>
    <mergeCell ref="A9:DS9"/>
    <mergeCell ref="A10:DS10"/>
    <mergeCell ref="BK11:CB11"/>
    <mergeCell ref="BK12:CB12"/>
    <mergeCell ref="S15:DA15"/>
    <mergeCell ref="S16:DA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7.140625" style="0" customWidth="1"/>
    <col min="2" max="2" width="47.421875" style="0" customWidth="1"/>
  </cols>
  <sheetData>
    <row r="1" spans="1:2" ht="14.25">
      <c r="A1" s="1"/>
      <c r="B1" s="1" t="s">
        <v>113</v>
      </c>
    </row>
    <row r="2" spans="1:2" ht="14.25">
      <c r="A2" s="1"/>
      <c r="B2" s="1" t="s">
        <v>1</v>
      </c>
    </row>
    <row r="3" spans="1:2" ht="14.25">
      <c r="A3" s="1"/>
      <c r="B3" s="1" t="s">
        <v>2</v>
      </c>
    </row>
    <row r="4" spans="1:2" ht="14.25">
      <c r="A4" s="1"/>
      <c r="B4" s="1" t="s">
        <v>3</v>
      </c>
    </row>
    <row r="5" spans="1:2" ht="14.25">
      <c r="A5" s="40"/>
      <c r="B5" s="42"/>
    </row>
    <row r="6" spans="1:2" ht="14.25">
      <c r="A6" s="40"/>
      <c r="B6" s="41"/>
    </row>
    <row r="7" ht="14.25">
      <c r="A7" t="s">
        <v>102</v>
      </c>
    </row>
    <row r="9" spans="1:2" ht="30" customHeight="1">
      <c r="A9" s="44" t="s">
        <v>103</v>
      </c>
      <c r="B9" s="43" t="s">
        <v>114</v>
      </c>
    </row>
    <row r="10" spans="1:2" ht="20.25" customHeight="1">
      <c r="A10" s="45" t="s">
        <v>104</v>
      </c>
      <c r="B10" s="47" t="s">
        <v>115</v>
      </c>
    </row>
    <row r="11" spans="1:2" ht="20.25" customHeight="1">
      <c r="A11" s="45" t="s">
        <v>105</v>
      </c>
      <c r="B11" s="48" t="s">
        <v>116</v>
      </c>
    </row>
    <row r="12" spans="1:2" ht="20.25" customHeight="1">
      <c r="A12" s="45" t="s">
        <v>106</v>
      </c>
      <c r="B12" s="48" t="s">
        <v>116</v>
      </c>
    </row>
    <row r="13" spans="1:2" ht="20.25" customHeight="1">
      <c r="A13" s="45" t="s">
        <v>107</v>
      </c>
      <c r="B13" s="48">
        <v>4029030252</v>
      </c>
    </row>
    <row r="14" spans="1:2" ht="20.25" customHeight="1">
      <c r="A14" s="45" t="s">
        <v>108</v>
      </c>
      <c r="B14" s="48">
        <v>775050001</v>
      </c>
    </row>
    <row r="15" spans="1:2" ht="20.25" customHeight="1">
      <c r="A15" s="45" t="s">
        <v>109</v>
      </c>
      <c r="B15" s="48" t="s">
        <v>117</v>
      </c>
    </row>
    <row r="16" spans="1:2" ht="20.25" customHeight="1">
      <c r="A16" s="45" t="s">
        <v>110</v>
      </c>
      <c r="B16" s="49" t="s">
        <v>118</v>
      </c>
    </row>
    <row r="17" spans="1:2" ht="20.25" customHeight="1">
      <c r="A17" s="45" t="s">
        <v>111</v>
      </c>
      <c r="B17" s="48" t="s">
        <v>119</v>
      </c>
    </row>
    <row r="18" spans="1:2" ht="20.25" customHeight="1">
      <c r="A18" s="46" t="s">
        <v>112</v>
      </c>
      <c r="B18" s="50" t="s">
        <v>145</v>
      </c>
    </row>
  </sheetData>
  <sheetProtection/>
  <hyperlinks>
    <hyperlink ref="B16" r:id="rId1" display="sekretary@ksk.kaluga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pane ySplit="10" topLeftCell="A113" activePane="bottomLeft" state="frozen"/>
      <selection pane="topLeft" activeCell="A1" sqref="A1"/>
      <selection pane="bottomLeft" activeCell="F86" sqref="F86:F88"/>
    </sheetView>
  </sheetViews>
  <sheetFormatPr defaultColWidth="9.140625" defaultRowHeight="15"/>
  <cols>
    <col min="2" max="2" width="51.140625" style="0" customWidth="1"/>
    <col min="3" max="3" width="12.28125" style="0" customWidth="1"/>
    <col min="4" max="4" width="22.7109375" style="0" customWidth="1"/>
    <col min="5" max="5" width="20.57421875" style="0" customWidth="1"/>
    <col min="6" max="6" width="19.8515625" style="0" customWidth="1"/>
    <col min="9" max="9" width="23.140625" style="0" customWidth="1"/>
    <col min="10" max="10" width="18.7109375" style="0" customWidth="1"/>
  </cols>
  <sheetData>
    <row r="1" ht="14.25">
      <c r="F1" s="1" t="s">
        <v>0</v>
      </c>
    </row>
    <row r="2" ht="14.25">
      <c r="F2" s="1" t="s">
        <v>1</v>
      </c>
    </row>
    <row r="3" ht="14.25">
      <c r="F3" s="1" t="s">
        <v>2</v>
      </c>
    </row>
    <row r="4" ht="14.25">
      <c r="F4" s="1" t="s">
        <v>3</v>
      </c>
    </row>
    <row r="6" ht="14.25">
      <c r="A6" s="2"/>
    </row>
    <row r="7" ht="14.25">
      <c r="C7" s="2" t="s">
        <v>89</v>
      </c>
    </row>
    <row r="8" ht="14.25">
      <c r="D8" s="2"/>
    </row>
    <row r="9" spans="1:6" ht="14.25">
      <c r="A9" s="99"/>
      <c r="B9" s="100" t="s">
        <v>143</v>
      </c>
      <c r="C9" s="100"/>
      <c r="D9" s="101">
        <v>2019</v>
      </c>
      <c r="E9" s="101">
        <v>2020</v>
      </c>
      <c r="F9" s="101">
        <v>2021</v>
      </c>
    </row>
    <row r="10" spans="1:6" ht="70.5" customHeight="1">
      <c r="A10" s="6" t="s">
        <v>4</v>
      </c>
      <c r="B10" s="24" t="s">
        <v>5</v>
      </c>
      <c r="C10" s="6" t="s">
        <v>6</v>
      </c>
      <c r="D10" s="66" t="s">
        <v>7</v>
      </c>
      <c r="E10" s="96" t="s">
        <v>136</v>
      </c>
      <c r="F10" s="6" t="s">
        <v>9</v>
      </c>
    </row>
    <row r="11" spans="1:6" ht="33" customHeight="1">
      <c r="A11" s="93" t="s">
        <v>10</v>
      </c>
      <c r="B11" s="94" t="s">
        <v>11</v>
      </c>
      <c r="C11" s="93"/>
      <c r="D11" s="75">
        <f>D13+D63+D76</f>
        <v>5394514.9</v>
      </c>
      <c r="E11" s="95">
        <f>E13+E63+E76</f>
        <v>5432581</v>
      </c>
      <c r="F11" s="95">
        <f>F13+F63+F76</f>
        <v>5432581</v>
      </c>
    </row>
    <row r="12" spans="1:6" ht="21.75" customHeight="1">
      <c r="A12" s="82"/>
      <c r="B12" s="25" t="s">
        <v>12</v>
      </c>
      <c r="C12" s="82"/>
      <c r="D12" s="8"/>
      <c r="E12" s="9"/>
      <c r="F12" s="9"/>
    </row>
    <row r="13" spans="1:10" ht="37.5" customHeight="1">
      <c r="A13" s="82" t="s">
        <v>13</v>
      </c>
      <c r="B13" s="25" t="s">
        <v>14</v>
      </c>
      <c r="C13" s="85" t="s">
        <v>15</v>
      </c>
      <c r="D13" s="52">
        <f>D14</f>
        <v>1148999.8</v>
      </c>
      <c r="E13" s="54">
        <f>E14</f>
        <v>1135201</v>
      </c>
      <c r="F13" s="54">
        <f>F14</f>
        <v>1135201</v>
      </c>
      <c r="I13" s="53"/>
      <c r="J13" s="53"/>
    </row>
    <row r="14" spans="1:12" ht="21.75" customHeight="1">
      <c r="A14" s="121" t="s">
        <v>16</v>
      </c>
      <c r="B14" s="25" t="s">
        <v>17</v>
      </c>
      <c r="C14" s="82" t="s">
        <v>15</v>
      </c>
      <c r="D14" s="8">
        <f aca="true" t="shared" si="0" ref="D14:F16">D22+D29+D36+D43+D50+D57</f>
        <v>1148999.8</v>
      </c>
      <c r="E14" s="9">
        <f t="shared" si="0"/>
        <v>1135201</v>
      </c>
      <c r="F14" s="9">
        <f t="shared" si="0"/>
        <v>1135201</v>
      </c>
      <c r="I14" s="51"/>
      <c r="L14" s="51"/>
    </row>
    <row r="15" spans="1:10" ht="21.75" customHeight="1">
      <c r="A15" s="121"/>
      <c r="B15" s="26" t="s">
        <v>18</v>
      </c>
      <c r="C15" s="82" t="s">
        <v>15</v>
      </c>
      <c r="D15" s="8">
        <f t="shared" si="0"/>
        <v>585460</v>
      </c>
      <c r="E15" s="9">
        <f t="shared" si="0"/>
        <v>589859</v>
      </c>
      <c r="F15" s="9">
        <f t="shared" si="0"/>
        <v>589859</v>
      </c>
      <c r="H15" s="51"/>
      <c r="I15" s="53"/>
      <c r="J15" s="53"/>
    </row>
    <row r="16" spans="1:10" ht="21.75" customHeight="1">
      <c r="A16" s="121"/>
      <c r="B16" s="26" t="s">
        <v>19</v>
      </c>
      <c r="C16" s="82" t="s">
        <v>15</v>
      </c>
      <c r="D16" s="8">
        <f t="shared" si="0"/>
        <v>563539.8</v>
      </c>
      <c r="E16" s="9">
        <f t="shared" si="0"/>
        <v>545342</v>
      </c>
      <c r="F16" s="9">
        <f t="shared" si="0"/>
        <v>545342</v>
      </c>
      <c r="I16" s="53"/>
      <c r="J16" s="53"/>
    </row>
    <row r="17" spans="1:6" ht="21.75" customHeight="1">
      <c r="A17" s="121" t="s">
        <v>20</v>
      </c>
      <c r="B17" s="25" t="s">
        <v>21</v>
      </c>
      <c r="C17" s="82" t="s">
        <v>15</v>
      </c>
      <c r="D17" s="8">
        <v>0</v>
      </c>
      <c r="E17" s="9"/>
      <c r="F17" s="9"/>
    </row>
    <row r="18" spans="1:6" ht="21.75" customHeight="1">
      <c r="A18" s="121"/>
      <c r="B18" s="26" t="s">
        <v>18</v>
      </c>
      <c r="C18" s="82" t="s">
        <v>15</v>
      </c>
      <c r="D18" s="8">
        <v>0</v>
      </c>
      <c r="E18" s="9"/>
      <c r="F18" s="9"/>
    </row>
    <row r="19" spans="1:6" ht="21.75" customHeight="1">
      <c r="A19" s="121"/>
      <c r="B19" s="26" t="s">
        <v>19</v>
      </c>
      <c r="C19" s="82" t="s">
        <v>15</v>
      </c>
      <c r="D19" s="8">
        <v>0</v>
      </c>
      <c r="E19" s="9"/>
      <c r="F19" s="9"/>
    </row>
    <row r="20" spans="1:6" ht="21.75" customHeight="1">
      <c r="A20" s="121"/>
      <c r="B20" s="25" t="s">
        <v>12</v>
      </c>
      <c r="C20" s="82" t="s">
        <v>15</v>
      </c>
      <c r="D20" s="8"/>
      <c r="E20" s="9"/>
      <c r="F20" s="9"/>
    </row>
    <row r="21" spans="1:6" ht="64.5" customHeight="1">
      <c r="A21" s="82" t="s">
        <v>22</v>
      </c>
      <c r="B21" s="25" t="s">
        <v>23</v>
      </c>
      <c r="C21" s="82" t="s">
        <v>15</v>
      </c>
      <c r="D21" s="8">
        <f>D22</f>
        <v>550430</v>
      </c>
      <c r="E21" s="9">
        <f>E22</f>
        <v>543816</v>
      </c>
      <c r="F21" s="9">
        <f>F22</f>
        <v>543816</v>
      </c>
    </row>
    <row r="22" spans="1:6" ht="21.75" customHeight="1">
      <c r="A22" s="121" t="s">
        <v>24</v>
      </c>
      <c r="B22" s="27" t="s">
        <v>17</v>
      </c>
      <c r="C22" s="67" t="s">
        <v>15</v>
      </c>
      <c r="D22" s="13">
        <f>D23+D24</f>
        <v>550430</v>
      </c>
      <c r="E22" s="14">
        <f>E23+E24</f>
        <v>543816</v>
      </c>
      <c r="F22" s="14">
        <f>F23+F24</f>
        <v>543816</v>
      </c>
    </row>
    <row r="23" spans="1:6" ht="21.75" customHeight="1">
      <c r="A23" s="121"/>
      <c r="B23" s="26" t="s">
        <v>18</v>
      </c>
      <c r="C23" s="82" t="s">
        <v>15</v>
      </c>
      <c r="D23" s="8">
        <f>'[2]Баланс'!$J$51*1000</f>
        <v>280460</v>
      </c>
      <c r="E23" s="9">
        <f>282.571*1000</f>
        <v>282571</v>
      </c>
      <c r="F23" s="9">
        <f>E23</f>
        <v>282571</v>
      </c>
    </row>
    <row r="24" spans="1:6" ht="21.75" customHeight="1">
      <c r="A24" s="121"/>
      <c r="B24" s="26" t="s">
        <v>19</v>
      </c>
      <c r="C24" s="82" t="s">
        <v>15</v>
      </c>
      <c r="D24" s="8">
        <f>'[2]Баланс'!$Q$51*1000</f>
        <v>269970</v>
      </c>
      <c r="E24" s="9">
        <f>261.245*1000</f>
        <v>261245</v>
      </c>
      <c r="F24" s="9">
        <f>E24</f>
        <v>261245</v>
      </c>
    </row>
    <row r="25" spans="1:6" ht="21.75" customHeight="1">
      <c r="A25" s="121" t="s">
        <v>25</v>
      </c>
      <c r="B25" s="25" t="s">
        <v>21</v>
      </c>
      <c r="C25" s="82" t="s">
        <v>15</v>
      </c>
      <c r="D25" s="8">
        <v>0</v>
      </c>
      <c r="E25" s="9"/>
      <c r="F25" s="9"/>
    </row>
    <row r="26" spans="1:6" ht="21.75" customHeight="1">
      <c r="A26" s="121"/>
      <c r="B26" s="26" t="s">
        <v>18</v>
      </c>
      <c r="C26" s="82" t="s">
        <v>15</v>
      </c>
      <c r="D26" s="8"/>
      <c r="E26" s="9"/>
      <c r="F26" s="9"/>
    </row>
    <row r="27" spans="1:6" ht="21.75" customHeight="1">
      <c r="A27" s="121"/>
      <c r="B27" s="26" t="s">
        <v>19</v>
      </c>
      <c r="C27" s="82" t="s">
        <v>15</v>
      </c>
      <c r="D27" s="8"/>
      <c r="E27" s="9"/>
      <c r="F27" s="9"/>
    </row>
    <row r="28" spans="1:6" ht="51.75" customHeight="1">
      <c r="A28" s="82" t="s">
        <v>26</v>
      </c>
      <c r="B28" s="25" t="s">
        <v>27</v>
      </c>
      <c r="C28" s="82" t="s">
        <v>15</v>
      </c>
      <c r="D28" s="8">
        <f>D29+D35</f>
        <v>83649.99999999999</v>
      </c>
      <c r="E28" s="8">
        <f>E29+E35</f>
        <v>92641</v>
      </c>
      <c r="F28" s="8">
        <f>F29+F35</f>
        <v>92641</v>
      </c>
    </row>
    <row r="29" spans="1:6" ht="21.75" customHeight="1">
      <c r="A29" s="121" t="s">
        <v>28</v>
      </c>
      <c r="B29" s="27" t="s">
        <v>17</v>
      </c>
      <c r="C29" s="67" t="s">
        <v>15</v>
      </c>
      <c r="D29" s="13">
        <f>D30+D31</f>
        <v>83649.99999999999</v>
      </c>
      <c r="E29" s="14">
        <f>E30+E31</f>
        <v>92641</v>
      </c>
      <c r="F29" s="14">
        <f>F30+F31</f>
        <v>92641</v>
      </c>
    </row>
    <row r="30" spans="1:6" ht="21.75" customHeight="1">
      <c r="A30" s="121"/>
      <c r="B30" s="26" t="s">
        <v>18</v>
      </c>
      <c r="C30" s="82" t="s">
        <v>15</v>
      </c>
      <c r="D30" s="8">
        <f>'[2]Баланс'!$J$53*1000</f>
        <v>42620</v>
      </c>
      <c r="E30" s="9">
        <f>48.137*1000</f>
        <v>48137</v>
      </c>
      <c r="F30" s="9">
        <f>E30</f>
        <v>48137</v>
      </c>
    </row>
    <row r="31" spans="1:6" ht="21.75" customHeight="1">
      <c r="A31" s="121"/>
      <c r="B31" s="26" t="s">
        <v>19</v>
      </c>
      <c r="C31" s="82" t="s">
        <v>15</v>
      </c>
      <c r="D31" s="8">
        <f>'[2]Баланс'!$Q$53*1000</f>
        <v>41029.999999999985</v>
      </c>
      <c r="E31" s="9">
        <f>44.504*1000</f>
        <v>44504</v>
      </c>
      <c r="F31" s="9">
        <f>E31</f>
        <v>44504</v>
      </c>
    </row>
    <row r="32" spans="1:6" ht="21.75" customHeight="1">
      <c r="A32" s="121" t="s">
        <v>29</v>
      </c>
      <c r="B32" s="25" t="s">
        <v>21</v>
      </c>
      <c r="C32" s="82" t="s">
        <v>15</v>
      </c>
      <c r="D32" s="8">
        <v>0</v>
      </c>
      <c r="E32" s="9"/>
      <c r="F32" s="9"/>
    </row>
    <row r="33" spans="1:6" ht="21.75" customHeight="1">
      <c r="A33" s="121"/>
      <c r="B33" s="26" t="s">
        <v>18</v>
      </c>
      <c r="C33" s="82" t="s">
        <v>15</v>
      </c>
      <c r="D33" s="8"/>
      <c r="E33" s="9"/>
      <c r="F33" s="9"/>
    </row>
    <row r="34" spans="1:6" ht="21.75" customHeight="1">
      <c r="A34" s="121"/>
      <c r="B34" s="26" t="s">
        <v>19</v>
      </c>
      <c r="C34" s="82" t="s">
        <v>15</v>
      </c>
      <c r="D34" s="8"/>
      <c r="E34" s="9"/>
      <c r="F34" s="9"/>
    </row>
    <row r="35" spans="1:6" ht="62.25" customHeight="1">
      <c r="A35" s="82" t="s">
        <v>30</v>
      </c>
      <c r="B35" s="25" t="s">
        <v>31</v>
      </c>
      <c r="C35" s="82" t="s">
        <v>15</v>
      </c>
      <c r="D35" s="8">
        <f>D36</f>
        <v>0</v>
      </c>
      <c r="E35" s="9">
        <f>E36</f>
        <v>0</v>
      </c>
      <c r="F35" s="9">
        <f>F36</f>
        <v>0</v>
      </c>
    </row>
    <row r="36" spans="1:6" ht="21.75" customHeight="1">
      <c r="A36" s="121" t="s">
        <v>32</v>
      </c>
      <c r="B36" s="27" t="s">
        <v>17</v>
      </c>
      <c r="C36" s="67" t="s">
        <v>15</v>
      </c>
      <c r="D36" s="13">
        <f>D37+D38</f>
        <v>0</v>
      </c>
      <c r="E36" s="14">
        <f>E37+E38</f>
        <v>0</v>
      </c>
      <c r="F36" s="14">
        <f>F37+F38</f>
        <v>0</v>
      </c>
    </row>
    <row r="37" spans="1:6" ht="21.75" customHeight="1">
      <c r="A37" s="121"/>
      <c r="B37" s="26" t="s">
        <v>18</v>
      </c>
      <c r="C37" s="82" t="s">
        <v>15</v>
      </c>
      <c r="D37" s="8">
        <v>0</v>
      </c>
      <c r="E37" s="9">
        <v>0</v>
      </c>
      <c r="F37" s="9">
        <v>0</v>
      </c>
    </row>
    <row r="38" spans="1:6" ht="21.75" customHeight="1">
      <c r="A38" s="121"/>
      <c r="B38" s="26" t="s">
        <v>19</v>
      </c>
      <c r="C38" s="82" t="s">
        <v>15</v>
      </c>
      <c r="D38" s="8"/>
      <c r="E38" s="9"/>
      <c r="F38" s="9"/>
    </row>
    <row r="39" spans="1:6" ht="21.75" customHeight="1">
      <c r="A39" s="121" t="s">
        <v>33</v>
      </c>
      <c r="B39" s="25" t="s">
        <v>21</v>
      </c>
      <c r="C39" s="82" t="s">
        <v>15</v>
      </c>
      <c r="D39" s="8">
        <v>0</v>
      </c>
      <c r="E39" s="9">
        <v>0</v>
      </c>
      <c r="F39" s="9">
        <v>0</v>
      </c>
    </row>
    <row r="40" spans="1:6" ht="21.75" customHeight="1">
      <c r="A40" s="121"/>
      <c r="B40" s="26" t="s">
        <v>18</v>
      </c>
      <c r="C40" s="82" t="s">
        <v>15</v>
      </c>
      <c r="D40" s="8"/>
      <c r="E40" s="9"/>
      <c r="F40" s="9"/>
    </row>
    <row r="41" spans="1:6" ht="21.75" customHeight="1">
      <c r="A41" s="121"/>
      <c r="B41" s="26" t="s">
        <v>19</v>
      </c>
      <c r="C41" s="82" t="s">
        <v>15</v>
      </c>
      <c r="D41" s="8"/>
      <c r="E41" s="9"/>
      <c r="F41" s="9"/>
    </row>
    <row r="42" spans="1:6" ht="66" customHeight="1">
      <c r="A42" s="82" t="s">
        <v>34</v>
      </c>
      <c r="B42" s="25" t="s">
        <v>35</v>
      </c>
      <c r="C42" s="82" t="s">
        <v>15</v>
      </c>
      <c r="D42" s="8">
        <f>D43</f>
        <v>0</v>
      </c>
      <c r="E42" s="9">
        <f>E43</f>
        <v>0</v>
      </c>
      <c r="F42" s="9">
        <f>F43</f>
        <v>0</v>
      </c>
    </row>
    <row r="43" spans="1:6" ht="21.75" customHeight="1">
      <c r="A43" s="121" t="s">
        <v>36</v>
      </c>
      <c r="B43" s="27" t="s">
        <v>17</v>
      </c>
      <c r="C43" s="67" t="s">
        <v>15</v>
      </c>
      <c r="D43" s="13">
        <f>D44+D45</f>
        <v>0</v>
      </c>
      <c r="E43" s="14">
        <f>E44+E45</f>
        <v>0</v>
      </c>
      <c r="F43" s="14">
        <f>F44+F45</f>
        <v>0</v>
      </c>
    </row>
    <row r="44" spans="1:6" ht="21.75" customHeight="1">
      <c r="A44" s="121"/>
      <c r="B44" s="26" t="s">
        <v>18</v>
      </c>
      <c r="C44" s="82" t="s">
        <v>15</v>
      </c>
      <c r="D44" s="8">
        <v>0</v>
      </c>
      <c r="E44" s="9"/>
      <c r="F44" s="9"/>
    </row>
    <row r="45" spans="1:6" ht="21.75" customHeight="1">
      <c r="A45" s="121"/>
      <c r="B45" s="26" t="s">
        <v>19</v>
      </c>
      <c r="C45" s="82" t="s">
        <v>15</v>
      </c>
      <c r="D45" s="8"/>
      <c r="E45" s="9"/>
      <c r="F45" s="9"/>
    </row>
    <row r="46" spans="1:6" ht="21.75" customHeight="1">
      <c r="A46" s="121" t="s">
        <v>37</v>
      </c>
      <c r="B46" s="25" t="s">
        <v>21</v>
      </c>
      <c r="C46" s="82" t="s">
        <v>15</v>
      </c>
      <c r="D46" s="8">
        <v>0</v>
      </c>
      <c r="E46" s="9"/>
      <c r="F46" s="9"/>
    </row>
    <row r="47" spans="1:6" ht="21.75" customHeight="1">
      <c r="A47" s="121"/>
      <c r="B47" s="26" t="s">
        <v>18</v>
      </c>
      <c r="C47" s="82" t="s">
        <v>15</v>
      </c>
      <c r="D47" s="8"/>
      <c r="E47" s="9"/>
      <c r="F47" s="9"/>
    </row>
    <row r="48" spans="1:6" ht="21.75" customHeight="1">
      <c r="A48" s="121"/>
      <c r="B48" s="26" t="s">
        <v>19</v>
      </c>
      <c r="C48" s="82" t="s">
        <v>15</v>
      </c>
      <c r="D48" s="8"/>
      <c r="E48" s="9"/>
      <c r="F48" s="9"/>
    </row>
    <row r="49" spans="1:6" ht="34.5" customHeight="1">
      <c r="A49" s="82" t="s">
        <v>38</v>
      </c>
      <c r="B49" s="25" t="s">
        <v>39</v>
      </c>
      <c r="C49" s="82" t="s">
        <v>15</v>
      </c>
      <c r="D49" s="8">
        <f>D50</f>
        <v>389370</v>
      </c>
      <c r="E49" s="9">
        <f>E50</f>
        <v>379885</v>
      </c>
      <c r="F49" s="9">
        <f>F50</f>
        <v>379885</v>
      </c>
    </row>
    <row r="50" spans="1:6" ht="21.75" customHeight="1">
      <c r="A50" s="121" t="s">
        <v>40</v>
      </c>
      <c r="B50" s="27" t="s">
        <v>17</v>
      </c>
      <c r="C50" s="67" t="s">
        <v>15</v>
      </c>
      <c r="D50" s="13">
        <f>D51+D52</f>
        <v>389370</v>
      </c>
      <c r="E50" s="14">
        <f>E51+E52</f>
        <v>379885</v>
      </c>
      <c r="F50" s="14">
        <f>F51+F52</f>
        <v>379885</v>
      </c>
    </row>
    <row r="51" spans="1:6" ht="21.75" customHeight="1">
      <c r="A51" s="121"/>
      <c r="B51" s="26" t="s">
        <v>18</v>
      </c>
      <c r="C51" s="82" t="s">
        <v>15</v>
      </c>
      <c r="D51" s="8">
        <f>'[2]Баланс'!$J$52*1000</f>
        <v>198400</v>
      </c>
      <c r="E51" s="9">
        <f>197.391*1000</f>
        <v>197391</v>
      </c>
      <c r="F51" s="9">
        <f>E51</f>
        <v>197391</v>
      </c>
    </row>
    <row r="52" spans="1:6" ht="21.75" customHeight="1">
      <c r="A52" s="121"/>
      <c r="B52" s="26" t="s">
        <v>19</v>
      </c>
      <c r="C52" s="82" t="s">
        <v>15</v>
      </c>
      <c r="D52" s="8">
        <f>'[2]Баланс'!$Q$52*1000</f>
        <v>190970</v>
      </c>
      <c r="E52" s="9">
        <f>182.494*1000</f>
        <v>182494</v>
      </c>
      <c r="F52" s="9">
        <f>E52</f>
        <v>182494</v>
      </c>
    </row>
    <row r="53" spans="1:6" ht="21.75" customHeight="1">
      <c r="A53" s="121" t="s">
        <v>41</v>
      </c>
      <c r="B53" s="25" t="s">
        <v>21</v>
      </c>
      <c r="C53" s="82" t="s">
        <v>15</v>
      </c>
      <c r="D53" s="8"/>
      <c r="E53" s="9"/>
      <c r="F53" s="9"/>
    </row>
    <row r="54" spans="1:6" ht="21.75" customHeight="1">
      <c r="A54" s="121"/>
      <c r="B54" s="26" t="s">
        <v>18</v>
      </c>
      <c r="C54" s="82" t="s">
        <v>15</v>
      </c>
      <c r="D54" s="8"/>
      <c r="E54" s="9"/>
      <c r="F54" s="9"/>
    </row>
    <row r="55" spans="1:6" ht="21.75" customHeight="1">
      <c r="A55" s="121"/>
      <c r="B55" s="26" t="s">
        <v>19</v>
      </c>
      <c r="C55" s="82" t="s">
        <v>15</v>
      </c>
      <c r="D55" s="8"/>
      <c r="E55" s="9"/>
      <c r="F55" s="9"/>
    </row>
    <row r="56" spans="1:6" ht="23.25" customHeight="1">
      <c r="A56" s="82" t="s">
        <v>42</v>
      </c>
      <c r="B56" s="25" t="s">
        <v>43</v>
      </c>
      <c r="C56" s="82" t="s">
        <v>15</v>
      </c>
      <c r="D56" s="8">
        <f>D57</f>
        <v>125549.80000000002</v>
      </c>
      <c r="E56" s="9">
        <f>E57</f>
        <v>118859</v>
      </c>
      <c r="F56" s="9">
        <f>F57</f>
        <v>118859</v>
      </c>
    </row>
    <row r="57" spans="1:6" ht="21.75" customHeight="1">
      <c r="A57" s="82" t="s">
        <v>44</v>
      </c>
      <c r="B57" s="27" t="s">
        <v>17</v>
      </c>
      <c r="C57" s="67" t="s">
        <v>15</v>
      </c>
      <c r="D57" s="13">
        <f>D58+D59</f>
        <v>125549.80000000002</v>
      </c>
      <c r="E57" s="14">
        <f>E58+E59</f>
        <v>118859</v>
      </c>
      <c r="F57" s="14">
        <f>F58+F59</f>
        <v>118859</v>
      </c>
    </row>
    <row r="58" spans="1:6" ht="21.75" customHeight="1">
      <c r="A58" s="82"/>
      <c r="B58" s="26" t="s">
        <v>18</v>
      </c>
      <c r="C58" s="82" t="s">
        <v>15</v>
      </c>
      <c r="D58" s="8">
        <f>'[2]Баланс'!$J$54*1000</f>
        <v>63980</v>
      </c>
      <c r="E58" s="9">
        <f>61.76*1000</f>
        <v>61760</v>
      </c>
      <c r="F58" s="9">
        <f>E58</f>
        <v>61760</v>
      </c>
    </row>
    <row r="59" spans="1:6" ht="21.75" customHeight="1">
      <c r="A59" s="82"/>
      <c r="B59" s="26" t="s">
        <v>19</v>
      </c>
      <c r="C59" s="82" t="s">
        <v>15</v>
      </c>
      <c r="D59" s="8">
        <f>'[2]Баланс'!$Q$54*1000</f>
        <v>61569.80000000001</v>
      </c>
      <c r="E59" s="9">
        <f>57.099*1000</f>
        <v>57099</v>
      </c>
      <c r="F59" s="9">
        <f>E59</f>
        <v>57099</v>
      </c>
    </row>
    <row r="60" spans="1:6" ht="21.75" customHeight="1">
      <c r="A60" s="82" t="s">
        <v>45</v>
      </c>
      <c r="B60" s="25" t="s">
        <v>21</v>
      </c>
      <c r="C60" s="82" t="s">
        <v>15</v>
      </c>
      <c r="D60" s="8"/>
      <c r="E60" s="9"/>
      <c r="F60" s="9"/>
    </row>
    <row r="61" spans="1:6" ht="21.75" customHeight="1">
      <c r="A61" s="82"/>
      <c r="B61" s="26" t="s">
        <v>18</v>
      </c>
      <c r="C61" s="82" t="s">
        <v>15</v>
      </c>
      <c r="D61" s="8"/>
      <c r="E61" s="9"/>
      <c r="F61" s="9"/>
    </row>
    <row r="62" spans="1:6" ht="21.75" customHeight="1">
      <c r="A62" s="82"/>
      <c r="B62" s="26" t="s">
        <v>19</v>
      </c>
      <c r="C62" s="82" t="s">
        <v>15</v>
      </c>
      <c r="D62" s="8"/>
      <c r="E62" s="9"/>
      <c r="F62" s="9"/>
    </row>
    <row r="63" spans="1:10" ht="50.25" customHeight="1">
      <c r="A63" s="126" t="s">
        <v>46</v>
      </c>
      <c r="B63" s="25" t="s">
        <v>47</v>
      </c>
      <c r="C63" s="82" t="s">
        <v>15</v>
      </c>
      <c r="D63" s="17">
        <f>D64+D67+D70+D73</f>
        <v>3425100.9</v>
      </c>
      <c r="E63" s="18">
        <f>E64+E67+E70+E73</f>
        <v>3467110</v>
      </c>
      <c r="F63" s="18">
        <f>F64+F67+F70+F73</f>
        <v>3467110</v>
      </c>
      <c r="I63" s="51"/>
      <c r="J63" s="53"/>
    </row>
    <row r="64" spans="1:10" ht="21.75" customHeight="1">
      <c r="A64" s="127"/>
      <c r="B64" s="28" t="s">
        <v>120</v>
      </c>
      <c r="C64" s="68" t="s">
        <v>15</v>
      </c>
      <c r="D64" s="15">
        <f>SUM(D65:D66)</f>
        <v>0</v>
      </c>
      <c r="E64" s="16">
        <v>0</v>
      </c>
      <c r="F64" s="16">
        <v>0</v>
      </c>
      <c r="J64" s="53"/>
    </row>
    <row r="65" spans="1:10" ht="21.75" customHeight="1">
      <c r="A65" s="127"/>
      <c r="B65" s="55" t="s">
        <v>18</v>
      </c>
      <c r="C65" s="69" t="s">
        <v>15</v>
      </c>
      <c r="D65" s="19"/>
      <c r="E65" s="56">
        <v>0</v>
      </c>
      <c r="F65" s="56">
        <v>0</v>
      </c>
      <c r="G65" s="57"/>
      <c r="H65" s="57"/>
      <c r="I65" s="57"/>
      <c r="J65" s="53"/>
    </row>
    <row r="66" spans="1:10" ht="21.75" customHeight="1">
      <c r="A66" s="127"/>
      <c r="B66" s="55" t="s">
        <v>19</v>
      </c>
      <c r="C66" s="69" t="s">
        <v>15</v>
      </c>
      <c r="D66" s="19"/>
      <c r="E66" s="56">
        <v>0</v>
      </c>
      <c r="F66" s="56">
        <v>0</v>
      </c>
      <c r="G66" s="57"/>
      <c r="H66" s="57"/>
      <c r="I66" s="57"/>
      <c r="J66" s="53"/>
    </row>
    <row r="67" spans="1:10" ht="21.75" customHeight="1">
      <c r="A67" s="127"/>
      <c r="B67" s="28" t="s">
        <v>141</v>
      </c>
      <c r="C67" s="68" t="s">
        <v>15</v>
      </c>
      <c r="D67" s="15">
        <f>SUM(D68:D69)</f>
        <v>1346065</v>
      </c>
      <c r="E67" s="16">
        <f>SUM(E68:E69)</f>
        <v>1310690</v>
      </c>
      <c r="F67" s="16">
        <f>SUM(F68:F69)</f>
        <v>1310690</v>
      </c>
      <c r="J67" s="53"/>
    </row>
    <row r="68" spans="1:10" ht="21.75" customHeight="1">
      <c r="A68" s="127"/>
      <c r="B68" s="26" t="s">
        <v>18</v>
      </c>
      <c r="C68" s="82" t="s">
        <v>15</v>
      </c>
      <c r="D68" s="8">
        <f>'[2]Баланс'!$J$73*1000</f>
        <v>677739</v>
      </c>
      <c r="E68" s="9">
        <f>652.18*1000</f>
        <v>652180</v>
      </c>
      <c r="F68" s="9">
        <f>E68</f>
        <v>652180</v>
      </c>
      <c r="J68" s="53"/>
    </row>
    <row r="69" spans="1:10" ht="21.75" customHeight="1">
      <c r="A69" s="127"/>
      <c r="B69" s="26" t="s">
        <v>19</v>
      </c>
      <c r="C69" s="82" t="s">
        <v>15</v>
      </c>
      <c r="D69" s="8">
        <f>'[2]Баланс'!$Q$73*1000</f>
        <v>668326</v>
      </c>
      <c r="E69" s="9">
        <f>658.51*1000</f>
        <v>658510</v>
      </c>
      <c r="F69" s="9">
        <f>E69</f>
        <v>658510</v>
      </c>
      <c r="J69" s="53"/>
    </row>
    <row r="70" spans="1:10" ht="21.75" customHeight="1">
      <c r="A70" s="127"/>
      <c r="B70" s="28" t="s">
        <v>48</v>
      </c>
      <c r="C70" s="68" t="s">
        <v>15</v>
      </c>
      <c r="D70" s="15">
        <f>SUM(D71:D72)</f>
        <v>1205638</v>
      </c>
      <c r="E70" s="16">
        <f>SUM(E71:E72)</f>
        <v>1219740</v>
      </c>
      <c r="F70" s="16">
        <f>SUM(F71:F72)</f>
        <v>1219740</v>
      </c>
      <c r="J70" s="53"/>
    </row>
    <row r="71" spans="1:10" ht="21.75" customHeight="1">
      <c r="A71" s="127"/>
      <c r="B71" s="26" t="s">
        <v>18</v>
      </c>
      <c r="C71" s="82" t="s">
        <v>15</v>
      </c>
      <c r="D71" s="8">
        <f>'[2]Баланс'!$J$81*1000</f>
        <v>607033.9999999999</v>
      </c>
      <c r="E71" s="9">
        <f>606.92*1000</f>
        <v>606920</v>
      </c>
      <c r="F71" s="9">
        <f>E71</f>
        <v>606920</v>
      </c>
      <c r="J71" s="53"/>
    </row>
    <row r="72" spans="1:10" ht="21.75" customHeight="1">
      <c r="A72" s="127"/>
      <c r="B72" s="26" t="s">
        <v>19</v>
      </c>
      <c r="C72" s="82" t="s">
        <v>15</v>
      </c>
      <c r="D72" s="8">
        <f>'[2]Баланс'!$Q$81*1000</f>
        <v>598604.0000000001</v>
      </c>
      <c r="E72" s="9">
        <f>612.82*1000</f>
        <v>612820</v>
      </c>
      <c r="F72" s="9">
        <f>E72</f>
        <v>612820</v>
      </c>
      <c r="J72" s="53"/>
    </row>
    <row r="73" spans="1:10" ht="21.75" customHeight="1">
      <c r="A73" s="127"/>
      <c r="B73" s="28" t="s">
        <v>49</v>
      </c>
      <c r="C73" s="68" t="s">
        <v>15</v>
      </c>
      <c r="D73" s="15">
        <f>SUM(D74:D75)</f>
        <v>873397.8999999999</v>
      </c>
      <c r="E73" s="16">
        <f>SUM(E74:E75)</f>
        <v>936680</v>
      </c>
      <c r="F73" s="16">
        <f>SUM(F74:F75)</f>
        <v>936680</v>
      </c>
      <c r="J73" s="53"/>
    </row>
    <row r="74" spans="1:10" ht="21.75" customHeight="1">
      <c r="A74" s="127"/>
      <c r="B74" s="26" t="s">
        <v>18</v>
      </c>
      <c r="C74" s="82" t="s">
        <v>15</v>
      </c>
      <c r="D74" s="8">
        <f>'[2]Баланс'!$J$89*1000</f>
        <v>439752.99999999994</v>
      </c>
      <c r="E74" s="9">
        <f>466.07*1000</f>
        <v>466070</v>
      </c>
      <c r="F74" s="9">
        <f>E74</f>
        <v>466070</v>
      </c>
      <c r="J74" s="53"/>
    </row>
    <row r="75" spans="1:10" ht="21.75" customHeight="1">
      <c r="A75" s="128"/>
      <c r="B75" s="26" t="s">
        <v>19</v>
      </c>
      <c r="C75" s="82" t="s">
        <v>15</v>
      </c>
      <c r="D75" s="8">
        <f>'[2]Баланс'!$Q$89*1000</f>
        <v>433644.8999999999</v>
      </c>
      <c r="E75" s="9">
        <f>470.61*1000</f>
        <v>470610</v>
      </c>
      <c r="F75" s="9">
        <f>E75</f>
        <v>470610</v>
      </c>
      <c r="J75" s="53"/>
    </row>
    <row r="76" spans="1:10" ht="47.25" customHeight="1">
      <c r="A76" s="121" t="s">
        <v>50</v>
      </c>
      <c r="B76" s="25" t="s">
        <v>51</v>
      </c>
      <c r="C76" s="82" t="s">
        <v>15</v>
      </c>
      <c r="D76" s="17">
        <f>SUM(D77:D78)</f>
        <v>820414.2</v>
      </c>
      <c r="E76" s="18">
        <f>SUM(E77:E78)</f>
        <v>830270</v>
      </c>
      <c r="F76" s="18">
        <f>SUM(F77:F78)</f>
        <v>830270</v>
      </c>
      <c r="J76" s="53"/>
    </row>
    <row r="77" spans="1:6" ht="21.75" customHeight="1">
      <c r="A77" s="121"/>
      <c r="B77" s="26" t="s">
        <v>52</v>
      </c>
      <c r="C77" s="82" t="s">
        <v>15</v>
      </c>
      <c r="D77" s="8">
        <f>'[2]Баланс'!$J$33*1000</f>
        <v>412279.9</v>
      </c>
      <c r="E77" s="9">
        <f>432.24*1000</f>
        <v>432240</v>
      </c>
      <c r="F77" s="9">
        <f>E77</f>
        <v>432240</v>
      </c>
    </row>
    <row r="78" spans="1:6" ht="21.75" customHeight="1">
      <c r="A78" s="121"/>
      <c r="B78" s="26" t="s">
        <v>53</v>
      </c>
      <c r="C78" s="82" t="s">
        <v>15</v>
      </c>
      <c r="D78" s="8">
        <f>'[2]Баланс'!$Q$33*1000</f>
        <v>408134.3</v>
      </c>
      <c r="E78" s="9">
        <f>398.03*1000</f>
        <v>398030</v>
      </c>
      <c r="F78" s="9">
        <f>E78</f>
        <v>398030</v>
      </c>
    </row>
    <row r="79" spans="1:6" ht="16.5" customHeight="1">
      <c r="A79" s="82"/>
      <c r="B79" s="25"/>
      <c r="C79" s="82"/>
      <c r="D79" s="21"/>
      <c r="E79" s="22"/>
      <c r="F79" s="22"/>
    </row>
    <row r="80" spans="1:6" ht="27.75" customHeight="1">
      <c r="A80" s="82" t="s">
        <v>54</v>
      </c>
      <c r="B80" s="25" t="s">
        <v>60</v>
      </c>
      <c r="C80" s="82"/>
      <c r="D80" s="33">
        <f>SUM(D82,D83,D88)</f>
        <v>594959</v>
      </c>
      <c r="E80" s="34">
        <f>SUM(E82,E83,E88)</f>
        <v>621788</v>
      </c>
      <c r="F80" s="34">
        <f>SUM(F82,F83,F88)</f>
        <v>616623</v>
      </c>
    </row>
    <row r="81" spans="1:6" ht="12.75" customHeight="1">
      <c r="A81" s="82"/>
      <c r="B81" s="25" t="s">
        <v>12</v>
      </c>
      <c r="C81" s="82"/>
      <c r="D81" s="21">
        <v>0</v>
      </c>
      <c r="E81" s="22">
        <v>0</v>
      </c>
      <c r="F81" s="22">
        <v>0</v>
      </c>
    </row>
    <row r="82" spans="1:9" ht="29.25" customHeight="1">
      <c r="A82" s="82" t="s">
        <v>55</v>
      </c>
      <c r="B82" s="25" t="s">
        <v>62</v>
      </c>
      <c r="C82" s="85" t="s">
        <v>63</v>
      </c>
      <c r="D82" s="21">
        <f>'[1]Кол ТП 2019'!$C$12+'[1]Кол ТП 2019'!$D$12+'[1]Кол ТП 2019'!$E$12+'[1]Кол ТП 2019'!$F$12</f>
        <v>554473</v>
      </c>
      <c r="E82" s="102">
        <v>575960</v>
      </c>
      <c r="F82" s="63">
        <f>E82</f>
        <v>575960</v>
      </c>
      <c r="I82" s="51"/>
    </row>
    <row r="83" spans="1:6" ht="45.75" customHeight="1">
      <c r="A83" s="121" t="s">
        <v>56</v>
      </c>
      <c r="B83" s="25" t="s">
        <v>65</v>
      </c>
      <c r="C83" s="85" t="s">
        <v>63</v>
      </c>
      <c r="D83" s="21">
        <f>SUM(D84:D87)</f>
        <v>40045</v>
      </c>
      <c r="E83" s="22">
        <f>SUM(E84:E87)</f>
        <v>45329</v>
      </c>
      <c r="F83" s="22">
        <v>40164</v>
      </c>
    </row>
    <row r="84" spans="1:9" ht="12.75" customHeight="1">
      <c r="A84" s="121"/>
      <c r="B84" s="134" t="s">
        <v>121</v>
      </c>
      <c r="C84" s="126" t="s">
        <v>63</v>
      </c>
      <c r="D84" s="130">
        <f>'[1]Кол ТП 2019'!$H$12</f>
        <v>39243</v>
      </c>
      <c r="E84" s="132">
        <v>44373</v>
      </c>
      <c r="F84" s="132">
        <f>E84</f>
        <v>44373</v>
      </c>
      <c r="I84" s="51"/>
    </row>
    <row r="85" spans="1:6" ht="12.75" customHeight="1">
      <c r="A85" s="121"/>
      <c r="B85" s="135"/>
      <c r="C85" s="128"/>
      <c r="D85" s="131"/>
      <c r="E85" s="133"/>
      <c r="F85" s="133"/>
    </row>
    <row r="86" spans="1:6" ht="15.75" customHeight="1">
      <c r="A86" s="121"/>
      <c r="B86" s="25" t="s">
        <v>48</v>
      </c>
      <c r="C86" s="85" t="s">
        <v>63</v>
      </c>
      <c r="D86" s="21">
        <f>'[1]Кол ТП 2019'!$I$12</f>
        <v>699</v>
      </c>
      <c r="E86" s="22">
        <v>799</v>
      </c>
      <c r="F86" s="22">
        <f>E86</f>
        <v>799</v>
      </c>
    </row>
    <row r="87" spans="1:9" ht="15.75" customHeight="1">
      <c r="A87" s="121"/>
      <c r="B87" s="25" t="s">
        <v>49</v>
      </c>
      <c r="C87" s="85" t="s">
        <v>63</v>
      </c>
      <c r="D87" s="21">
        <f>'[1]Кол ТП 2019'!$J$12</f>
        <v>103</v>
      </c>
      <c r="E87" s="22">
        <v>157</v>
      </c>
      <c r="F87" s="22">
        <f>E87</f>
        <v>157</v>
      </c>
      <c r="I87" s="51"/>
    </row>
    <row r="88" spans="1:6" ht="18" customHeight="1">
      <c r="A88" s="62" t="s">
        <v>57</v>
      </c>
      <c r="B88" s="25" t="s">
        <v>58</v>
      </c>
      <c r="C88" s="85"/>
      <c r="D88" s="21">
        <f>'[1]Кол ТП 2019'!$K$12</f>
        <v>441</v>
      </c>
      <c r="E88" s="22">
        <v>499</v>
      </c>
      <c r="F88" s="22">
        <f>E88</f>
        <v>499</v>
      </c>
    </row>
    <row r="89" spans="1:6" ht="17.25" customHeight="1">
      <c r="A89" s="82" t="s">
        <v>59</v>
      </c>
      <c r="B89" s="25" t="s">
        <v>67</v>
      </c>
      <c r="C89" s="85" t="s">
        <v>63</v>
      </c>
      <c r="D89" s="33">
        <f>D80</f>
        <v>594959</v>
      </c>
      <c r="E89" s="34">
        <f>E80</f>
        <v>621788</v>
      </c>
      <c r="F89" s="34">
        <f>F80</f>
        <v>616623</v>
      </c>
    </row>
    <row r="90" spans="1:6" ht="12.75" customHeight="1">
      <c r="A90" s="82"/>
      <c r="B90" s="25"/>
      <c r="C90" s="82"/>
      <c r="D90" s="4"/>
      <c r="E90" s="5"/>
      <c r="F90" s="5"/>
    </row>
    <row r="91" spans="1:6" ht="31.5" customHeight="1">
      <c r="A91" s="82" t="s">
        <v>66</v>
      </c>
      <c r="B91" s="25" t="s">
        <v>69</v>
      </c>
      <c r="C91" s="85" t="s">
        <v>70</v>
      </c>
      <c r="D91" s="8">
        <f>'[1]Свод'!$B$14/1000</f>
        <v>1333116.2825999998</v>
      </c>
      <c r="E91" s="34">
        <f>1938095.072</f>
        <v>1938095.072</v>
      </c>
      <c r="F91" s="34">
        <f>2017520.801</f>
        <v>2017520.801</v>
      </c>
    </row>
    <row r="92" spans="1:6" ht="12.75" customHeight="1">
      <c r="A92" s="82"/>
      <c r="B92" s="25"/>
      <c r="C92" s="82"/>
      <c r="D92" s="4"/>
      <c r="E92" s="5"/>
      <c r="F92" s="5"/>
    </row>
    <row r="93" spans="1:6" ht="33" customHeight="1">
      <c r="A93" s="82" t="s">
        <v>68</v>
      </c>
      <c r="B93" s="25" t="s">
        <v>72</v>
      </c>
      <c r="C93" s="82"/>
      <c r="D93" s="4"/>
      <c r="E93" s="5"/>
      <c r="F93" s="5"/>
    </row>
    <row r="94" spans="1:6" ht="24.75" customHeight="1">
      <c r="A94" s="82" t="s">
        <v>125</v>
      </c>
      <c r="B94" s="25" t="s">
        <v>73</v>
      </c>
      <c r="C94" s="85" t="s">
        <v>74</v>
      </c>
      <c r="D94" s="23" t="s">
        <v>123</v>
      </c>
      <c r="E94" s="7" t="s">
        <v>123</v>
      </c>
      <c r="F94" s="7" t="s">
        <v>123</v>
      </c>
    </row>
    <row r="95" spans="1:6" ht="33" customHeight="1">
      <c r="A95" s="82" t="s">
        <v>126</v>
      </c>
      <c r="B95" s="25" t="s">
        <v>75</v>
      </c>
      <c r="C95" s="82" t="s">
        <v>76</v>
      </c>
      <c r="D95" s="65" t="s">
        <v>123</v>
      </c>
      <c r="E95" s="64" t="s">
        <v>123</v>
      </c>
      <c r="F95" s="64" t="s">
        <v>123</v>
      </c>
    </row>
    <row r="96" spans="1:6" ht="46.5" customHeight="1">
      <c r="A96" s="85" t="s">
        <v>127</v>
      </c>
      <c r="B96" s="29" t="s">
        <v>77</v>
      </c>
      <c r="C96" s="82"/>
      <c r="D96" s="76" t="s">
        <v>137</v>
      </c>
      <c r="E96" s="80" t="s">
        <v>137</v>
      </c>
      <c r="F96" s="80" t="s">
        <v>137</v>
      </c>
    </row>
    <row r="97" spans="1:6" ht="16.5" customHeight="1">
      <c r="A97" s="82"/>
      <c r="B97" s="25"/>
      <c r="C97" s="82"/>
      <c r="D97" s="4"/>
      <c r="E97" s="5"/>
      <c r="F97" s="5"/>
    </row>
    <row r="98" spans="1:6" s="12" customFormat="1" ht="18" customHeight="1">
      <c r="A98" s="85" t="s">
        <v>71</v>
      </c>
      <c r="B98" s="29" t="s">
        <v>79</v>
      </c>
      <c r="C98" s="85" t="s">
        <v>70</v>
      </c>
      <c r="D98" s="8">
        <v>243169.72</v>
      </c>
      <c r="E98" s="9">
        <v>254167.544</v>
      </c>
      <c r="F98" s="9">
        <v>242920.882</v>
      </c>
    </row>
    <row r="99" spans="1:6" s="12" customFormat="1" ht="18" customHeight="1">
      <c r="A99" s="85"/>
      <c r="B99" s="29"/>
      <c r="C99" s="85"/>
      <c r="D99" s="8"/>
      <c r="E99" s="9"/>
      <c r="F99" s="9"/>
    </row>
    <row r="100" spans="1:6" s="12" customFormat="1" ht="18" customHeight="1">
      <c r="A100" s="85" t="s">
        <v>78</v>
      </c>
      <c r="B100" s="29" t="s">
        <v>101</v>
      </c>
      <c r="C100" s="85" t="s">
        <v>70</v>
      </c>
      <c r="D100" s="8">
        <v>244584.4964</v>
      </c>
      <c r="E100" s="9">
        <v>433777.309</v>
      </c>
      <c r="F100" s="9">
        <v>522317.27</v>
      </c>
    </row>
    <row r="101" spans="1:6" s="12" customFormat="1" ht="18" customHeight="1">
      <c r="A101" s="85"/>
      <c r="B101" s="29"/>
      <c r="C101" s="85"/>
      <c r="D101" s="8"/>
      <c r="E101" s="9"/>
      <c r="F101" s="9"/>
    </row>
    <row r="102" spans="1:6" s="12" customFormat="1" ht="18" customHeight="1">
      <c r="A102" s="85" t="s">
        <v>80</v>
      </c>
      <c r="B102" s="29" t="s">
        <v>122</v>
      </c>
      <c r="C102" s="85" t="s">
        <v>70</v>
      </c>
      <c r="D102" s="8">
        <v>123230.8402</v>
      </c>
      <c r="E102" s="9">
        <v>220695.353</v>
      </c>
      <c r="F102" s="9">
        <v>268568.8</v>
      </c>
    </row>
    <row r="103" spans="1:6" s="12" customFormat="1" ht="18" customHeight="1">
      <c r="A103" s="85"/>
      <c r="B103" s="29"/>
      <c r="C103" s="85"/>
      <c r="D103" s="8"/>
      <c r="E103" s="9"/>
      <c r="F103" s="9"/>
    </row>
    <row r="104" spans="1:6" s="12" customFormat="1" ht="18" customHeight="1">
      <c r="A104" s="85" t="s">
        <v>81</v>
      </c>
      <c r="B104" s="29" t="s">
        <v>83</v>
      </c>
      <c r="C104" s="85" t="s">
        <v>70</v>
      </c>
      <c r="D104" s="8" t="s">
        <v>123</v>
      </c>
      <c r="E104" s="9" t="s">
        <v>123</v>
      </c>
      <c r="F104" s="9" t="s">
        <v>123</v>
      </c>
    </row>
    <row r="105" spans="1:6" s="12" customFormat="1" ht="18" customHeight="1">
      <c r="A105" s="85"/>
      <c r="B105" s="29"/>
      <c r="C105" s="85"/>
      <c r="D105" s="8"/>
      <c r="E105" s="9"/>
      <c r="F105" s="9"/>
    </row>
    <row r="106" spans="1:6" s="12" customFormat="1" ht="39.75" customHeight="1">
      <c r="A106" s="85" t="s">
        <v>82</v>
      </c>
      <c r="B106" s="29" t="s">
        <v>85</v>
      </c>
      <c r="C106" s="85" t="s">
        <v>86</v>
      </c>
      <c r="D106" s="8" t="s">
        <v>123</v>
      </c>
      <c r="E106" s="9" t="s">
        <v>123</v>
      </c>
      <c r="F106" s="9" t="s">
        <v>123</v>
      </c>
    </row>
    <row r="107" spans="1:6" s="12" customFormat="1" ht="18" customHeight="1">
      <c r="A107" s="83"/>
      <c r="B107" s="30"/>
      <c r="C107" s="83"/>
      <c r="D107" s="10"/>
      <c r="E107" s="11"/>
      <c r="F107" s="11"/>
    </row>
    <row r="108" spans="1:6" s="12" customFormat="1" ht="91.5" customHeight="1">
      <c r="A108" s="84" t="s">
        <v>84</v>
      </c>
      <c r="B108" s="31" t="s">
        <v>87</v>
      </c>
      <c r="C108" s="84"/>
      <c r="D108" s="87" t="s">
        <v>138</v>
      </c>
      <c r="E108" s="92" t="s">
        <v>139</v>
      </c>
      <c r="F108" s="92" t="s">
        <v>139</v>
      </c>
    </row>
    <row r="109" ht="14.25">
      <c r="A109" s="3"/>
    </row>
    <row r="110" spans="1:6" ht="14.25">
      <c r="A110" s="3"/>
      <c r="B110" s="129" t="s">
        <v>88</v>
      </c>
      <c r="C110" s="129"/>
      <c r="D110" s="129"/>
      <c r="E110" s="129"/>
      <c r="F110" s="129"/>
    </row>
    <row r="112" spans="2:6" ht="50.25" customHeight="1">
      <c r="B112" s="122" t="s">
        <v>124</v>
      </c>
      <c r="C112" s="123"/>
      <c r="D112" s="123"/>
      <c r="E112" s="123"/>
      <c r="F112" s="123"/>
    </row>
    <row r="113" spans="2:6" ht="35.25" customHeight="1">
      <c r="B113" s="123" t="s">
        <v>140</v>
      </c>
      <c r="C113" s="123"/>
      <c r="D113" s="123"/>
      <c r="E113" s="123"/>
      <c r="F113" s="123"/>
    </row>
    <row r="114" spans="2:6" ht="45" customHeight="1">
      <c r="B114" s="124" t="s">
        <v>128</v>
      </c>
      <c r="C114" s="125"/>
      <c r="D114" s="125"/>
      <c r="E114" s="125"/>
      <c r="F114" s="125"/>
    </row>
  </sheetData>
  <sheetProtection/>
  <mergeCells count="24">
    <mergeCell ref="A14:A16"/>
    <mergeCell ref="A17:A20"/>
    <mergeCell ref="A22:A24"/>
    <mergeCell ref="A25:A27"/>
    <mergeCell ref="A29:A31"/>
    <mergeCell ref="A32:A34"/>
    <mergeCell ref="D84:D85"/>
    <mergeCell ref="E84:E85"/>
    <mergeCell ref="F84:F85"/>
    <mergeCell ref="B84:B85"/>
    <mergeCell ref="C84:C85"/>
    <mergeCell ref="A36:A38"/>
    <mergeCell ref="A39:A41"/>
    <mergeCell ref="A43:A45"/>
    <mergeCell ref="A46:A48"/>
    <mergeCell ref="A50:A52"/>
    <mergeCell ref="A53:A55"/>
    <mergeCell ref="B112:F112"/>
    <mergeCell ref="B113:F113"/>
    <mergeCell ref="B114:F114"/>
    <mergeCell ref="A63:A75"/>
    <mergeCell ref="A76:A78"/>
    <mergeCell ref="A83:A87"/>
    <mergeCell ref="B110:F1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4">
      <selection activeCell="H20" sqref="H20"/>
    </sheetView>
  </sheetViews>
  <sheetFormatPr defaultColWidth="9.140625" defaultRowHeight="15"/>
  <cols>
    <col min="2" max="2" width="66.7109375" style="0" customWidth="1"/>
    <col min="3" max="3" width="18.57421875" style="0" customWidth="1"/>
    <col min="4" max="4" width="14.28125" style="0" customWidth="1"/>
    <col min="5" max="5" width="14.8515625" style="0" customWidth="1"/>
    <col min="6" max="9" width="11.421875" style="0" customWidth="1"/>
    <col min="16" max="16" width="9.140625" style="0" customWidth="1"/>
  </cols>
  <sheetData>
    <row r="1" ht="14.25">
      <c r="I1" s="1" t="s">
        <v>90</v>
      </c>
    </row>
    <row r="2" ht="14.25">
      <c r="I2" s="1" t="s">
        <v>1</v>
      </c>
    </row>
    <row r="3" ht="14.25">
      <c r="I3" s="1" t="s">
        <v>2</v>
      </c>
    </row>
    <row r="4" ht="14.25">
      <c r="I4" s="1" t="s">
        <v>3</v>
      </c>
    </row>
    <row r="5" ht="14.25">
      <c r="H5" s="2"/>
    </row>
    <row r="6" ht="14.25">
      <c r="C6" s="2" t="s">
        <v>91</v>
      </c>
    </row>
    <row r="7" ht="14.25">
      <c r="A7" s="2"/>
    </row>
    <row r="8" ht="14.25">
      <c r="A8" s="3"/>
    </row>
    <row r="9" spans="1:9" ht="60" customHeight="1">
      <c r="A9" s="136" t="s">
        <v>4</v>
      </c>
      <c r="B9" s="138" t="s">
        <v>5</v>
      </c>
      <c r="C9" s="136" t="s">
        <v>92</v>
      </c>
      <c r="D9" s="140" t="s">
        <v>7</v>
      </c>
      <c r="E9" s="141"/>
      <c r="F9" s="142" t="s">
        <v>8</v>
      </c>
      <c r="G9" s="143"/>
      <c r="H9" s="144" t="s">
        <v>9</v>
      </c>
      <c r="I9" s="141"/>
    </row>
    <row r="10" spans="1:9" ht="28.5">
      <c r="A10" s="137"/>
      <c r="B10" s="139"/>
      <c r="C10" s="137"/>
      <c r="D10" s="35" t="s">
        <v>93</v>
      </c>
      <c r="E10" s="32" t="s">
        <v>94</v>
      </c>
      <c r="F10" s="35" t="s">
        <v>93</v>
      </c>
      <c r="G10" s="32" t="s">
        <v>94</v>
      </c>
      <c r="H10" s="37" t="s">
        <v>93</v>
      </c>
      <c r="I10" s="32" t="s">
        <v>94</v>
      </c>
    </row>
    <row r="11" spans="1:9" ht="21" customHeight="1">
      <c r="A11" s="58" t="s">
        <v>59</v>
      </c>
      <c r="B11" s="59" t="s">
        <v>96</v>
      </c>
      <c r="C11" s="58"/>
      <c r="D11" s="39"/>
      <c r="E11" s="36"/>
      <c r="F11" s="39"/>
      <c r="G11" s="36"/>
      <c r="H11" s="38"/>
      <c r="I11" s="36"/>
    </row>
    <row r="12" spans="1:9" ht="30" customHeight="1">
      <c r="A12" s="61" t="s">
        <v>61</v>
      </c>
      <c r="B12" s="60" t="s">
        <v>97</v>
      </c>
      <c r="C12" s="6" t="s">
        <v>95</v>
      </c>
      <c r="D12" s="77">
        <v>260.82</v>
      </c>
      <c r="E12" s="113">
        <v>572.87</v>
      </c>
      <c r="F12" s="106">
        <v>572.87</v>
      </c>
      <c r="G12" s="78">
        <v>692.28</v>
      </c>
      <c r="H12" s="106">
        <v>648.8884783929185</v>
      </c>
      <c r="I12" s="78">
        <v>648.8884783929186</v>
      </c>
    </row>
    <row r="13" spans="1:9" ht="48.75" customHeight="1">
      <c r="A13" s="104" t="s">
        <v>64</v>
      </c>
      <c r="B13" s="105" t="s">
        <v>98</v>
      </c>
      <c r="C13" s="104" t="s">
        <v>95</v>
      </c>
      <c r="D13" s="114">
        <v>65.11</v>
      </c>
      <c r="E13" s="115">
        <v>372.06</v>
      </c>
      <c r="F13" s="97">
        <v>253.2607249243597</v>
      </c>
      <c r="G13" s="98">
        <v>253.26072492435975</v>
      </c>
      <c r="H13" s="97">
        <v>253.26</v>
      </c>
      <c r="I13" s="98">
        <v>412.14021597818163</v>
      </c>
    </row>
    <row r="14" spans="1:9" ht="21.75" customHeight="1">
      <c r="A14" s="107" t="s">
        <v>99</v>
      </c>
      <c r="B14" s="108" t="s">
        <v>100</v>
      </c>
      <c r="C14" s="107"/>
      <c r="D14" s="91"/>
      <c r="E14" s="79"/>
      <c r="F14" s="86"/>
      <c r="G14" s="116"/>
      <c r="H14" s="86"/>
      <c r="I14" s="116"/>
    </row>
    <row r="15" spans="1:9" ht="23.25" customHeight="1">
      <c r="A15" s="88"/>
      <c r="B15" s="109" t="s">
        <v>142</v>
      </c>
      <c r="C15" s="85" t="s">
        <v>95</v>
      </c>
      <c r="D15" s="110">
        <v>188.3</v>
      </c>
      <c r="E15" s="111">
        <v>430.9</v>
      </c>
      <c r="F15" s="110">
        <v>416.24838327819816</v>
      </c>
      <c r="G15" s="111">
        <v>566.6821486315732</v>
      </c>
      <c r="H15" s="110">
        <v>491.0555660796138</v>
      </c>
      <c r="I15" s="111">
        <v>491.0563413415217</v>
      </c>
    </row>
    <row r="16" spans="1:9" ht="18.75" customHeight="1">
      <c r="A16" s="88"/>
      <c r="B16" s="109" t="s">
        <v>48</v>
      </c>
      <c r="C16" s="85" t="s">
        <v>95</v>
      </c>
      <c r="D16" s="110">
        <v>101.59</v>
      </c>
      <c r="E16" s="111">
        <v>186.66</v>
      </c>
      <c r="F16" s="110">
        <v>186.66</v>
      </c>
      <c r="G16" s="111">
        <v>306.29536143076245</v>
      </c>
      <c r="H16" s="110">
        <v>243.5924797001252</v>
      </c>
      <c r="I16" s="111">
        <v>243.5957766894971</v>
      </c>
    </row>
    <row r="17" spans="1:9" ht="18.75" customHeight="1">
      <c r="A17" s="112"/>
      <c r="B17" s="89" t="s">
        <v>49</v>
      </c>
      <c r="C17" s="90" t="s">
        <v>95</v>
      </c>
      <c r="D17" s="81">
        <v>62.77</v>
      </c>
      <c r="E17" s="103">
        <v>143.63</v>
      </c>
      <c r="F17" s="81">
        <v>138.74946109273273</v>
      </c>
      <c r="G17" s="103">
        <v>188.8940495438577</v>
      </c>
      <c r="H17" s="81">
        <v>163.68518869320462</v>
      </c>
      <c r="I17" s="103">
        <v>163.68544711384058</v>
      </c>
    </row>
    <row r="18" spans="1:9" ht="14.25">
      <c r="A18" s="2"/>
      <c r="I18" s="20"/>
    </row>
    <row r="19" spans="1:9" ht="14.25">
      <c r="A19" s="3"/>
      <c r="B19" s="129" t="s">
        <v>88</v>
      </c>
      <c r="C19" s="129"/>
      <c r="D19" s="129"/>
      <c r="E19" s="129"/>
      <c r="F19" s="129"/>
      <c r="G19" s="129"/>
      <c r="H19" s="129"/>
      <c r="I19" s="129"/>
    </row>
  </sheetData>
  <sheetProtection/>
  <mergeCells count="7">
    <mergeCell ref="A9:A10"/>
    <mergeCell ref="B9:B10"/>
    <mergeCell ref="C9:C10"/>
    <mergeCell ref="D9:E9"/>
    <mergeCell ref="B19:I19"/>
    <mergeCell ref="F9:G9"/>
    <mergeCell ref="H9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2020-04-13T12:08:54Z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